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Customer audit\4th 20240307\Present\"/>
    </mc:Choice>
  </mc:AlternateContent>
  <bookViews>
    <workbookView xWindow="0" yWindow="0" windowWidth="23040" windowHeight="10452"/>
  </bookViews>
  <sheets>
    <sheet name="Manufaturing data" sheetId="1" r:id="rId1"/>
    <sheet name="工作表1" sheetId="4" r:id="rId2"/>
    <sheet name="SMT data new" sheetId="5" r:id="rId3"/>
  </sheets>
  <calcPr calcId="162913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I21" i="1"/>
  <c r="H21" i="1"/>
  <c r="W14" i="5" l="1"/>
  <c r="X14" i="5" s="1"/>
  <c r="I9" i="5" s="1"/>
  <c r="V14" i="5"/>
  <c r="V13" i="5"/>
  <c r="W13" i="5" s="1"/>
  <c r="X13" i="5" s="1"/>
  <c r="H9" i="5" s="1"/>
  <c r="J13" i="5"/>
  <c r="V12" i="5"/>
  <c r="W12" i="5" s="1"/>
  <c r="X12" i="5" s="1"/>
  <c r="G9" i="5" s="1"/>
  <c r="J12" i="5"/>
  <c r="V11" i="5"/>
  <c r="W11" i="5" s="1"/>
  <c r="X11" i="5" s="1"/>
  <c r="F9" i="5" s="1"/>
  <c r="J11" i="5"/>
  <c r="V10" i="5"/>
  <c r="W10" i="5" s="1"/>
  <c r="X10" i="5" s="1"/>
  <c r="E9" i="5" s="1"/>
  <c r="J9" i="5" s="1"/>
  <c r="J10" i="5"/>
  <c r="J8" i="5"/>
  <c r="I7" i="5"/>
  <c r="H7" i="5"/>
  <c r="G7" i="5"/>
  <c r="F7" i="5"/>
  <c r="J7" i="5" s="1"/>
  <c r="E7" i="5"/>
  <c r="G17" i="1" l="1"/>
  <c r="C14" i="4" l="1"/>
  <c r="O8" i="4"/>
  <c r="O7" i="4"/>
  <c r="C27" i="4"/>
  <c r="C29" i="4"/>
  <c r="C30" i="4"/>
  <c r="N14" i="4"/>
  <c r="D14" i="4" l="1"/>
  <c r="E14" i="4"/>
  <c r="F14" i="4"/>
  <c r="G14" i="4"/>
  <c r="H14" i="4"/>
  <c r="I14" i="4"/>
  <c r="J14" i="4"/>
  <c r="K14" i="4"/>
  <c r="L14" i="4"/>
  <c r="M14" i="4"/>
  <c r="S14" i="4"/>
  <c r="R14" i="4"/>
  <c r="C24" i="4"/>
  <c r="O5" i="4"/>
  <c r="O6" i="4"/>
  <c r="C26" i="4"/>
  <c r="O9" i="4"/>
  <c r="O10" i="4"/>
  <c r="O11" i="4"/>
  <c r="O12" i="4"/>
  <c r="O13" i="4"/>
  <c r="C23" i="4"/>
  <c r="E23" i="4"/>
  <c r="E24" i="4"/>
  <c r="C25" i="4"/>
  <c r="E25" i="4"/>
  <c r="E26" i="4"/>
  <c r="E27" i="4"/>
  <c r="C28" i="4"/>
  <c r="E28" i="4"/>
  <c r="E29" i="4"/>
  <c r="E30" i="4"/>
  <c r="C31" i="4"/>
  <c r="E31" i="4"/>
  <c r="R5" i="4"/>
  <c r="S5" i="4"/>
  <c r="T5" i="4"/>
  <c r="U5" i="4"/>
  <c r="V5" i="4"/>
  <c r="W5" i="4"/>
  <c r="X5" i="4"/>
  <c r="Y5" i="4"/>
  <c r="Z5" i="4"/>
  <c r="AA5" i="4"/>
  <c r="AB5" i="4"/>
  <c r="AC5" i="4"/>
  <c r="R6" i="4"/>
  <c r="S6" i="4"/>
  <c r="T6" i="4"/>
  <c r="U6" i="4"/>
  <c r="V6" i="4"/>
  <c r="W6" i="4"/>
  <c r="X6" i="4"/>
  <c r="Y6" i="4"/>
  <c r="Z6" i="4"/>
  <c r="AA6" i="4"/>
  <c r="AB6" i="4"/>
  <c r="AC6" i="4"/>
  <c r="R7" i="4"/>
  <c r="S7" i="4"/>
  <c r="T7" i="4"/>
  <c r="U7" i="4"/>
  <c r="V7" i="4"/>
  <c r="W7" i="4"/>
  <c r="X7" i="4"/>
  <c r="Y7" i="4"/>
  <c r="Z7" i="4"/>
  <c r="AA7" i="4"/>
  <c r="AB7" i="4"/>
  <c r="AC7" i="4"/>
  <c r="R8" i="4"/>
  <c r="S8" i="4"/>
  <c r="AD8" i="4" s="1"/>
  <c r="T8" i="4"/>
  <c r="U8" i="4"/>
  <c r="V8" i="4"/>
  <c r="W8" i="4"/>
  <c r="X8" i="4"/>
  <c r="Y8" i="4"/>
  <c r="Z8" i="4"/>
  <c r="AA8" i="4"/>
  <c r="AB8" i="4"/>
  <c r="AC8" i="4"/>
  <c r="R9" i="4"/>
  <c r="S9" i="4"/>
  <c r="T9" i="4"/>
  <c r="U9" i="4"/>
  <c r="V9" i="4"/>
  <c r="W9" i="4"/>
  <c r="X9" i="4"/>
  <c r="Y9" i="4"/>
  <c r="Z9" i="4"/>
  <c r="AA9" i="4"/>
  <c r="AB9" i="4"/>
  <c r="AC9" i="4"/>
  <c r="R10" i="4"/>
  <c r="S10" i="4"/>
  <c r="T10" i="4"/>
  <c r="AD10" i="4" s="1"/>
  <c r="U10" i="4"/>
  <c r="V10" i="4"/>
  <c r="W10" i="4"/>
  <c r="X10" i="4"/>
  <c r="Y10" i="4"/>
  <c r="Z10" i="4"/>
  <c r="AA10" i="4"/>
  <c r="AB10" i="4"/>
  <c r="AC10" i="4"/>
  <c r="R11" i="4"/>
  <c r="S11" i="4"/>
  <c r="T11" i="4"/>
  <c r="U11" i="4"/>
  <c r="V11" i="4"/>
  <c r="W11" i="4"/>
  <c r="X11" i="4"/>
  <c r="Y11" i="4"/>
  <c r="Z11" i="4"/>
  <c r="AA11" i="4"/>
  <c r="AB11" i="4"/>
  <c r="AC11" i="4"/>
  <c r="R12" i="4"/>
  <c r="S12" i="4"/>
  <c r="T12" i="4"/>
  <c r="U12" i="4"/>
  <c r="V12" i="4"/>
  <c r="W12" i="4"/>
  <c r="X12" i="4"/>
  <c r="Y12" i="4"/>
  <c r="Z12" i="4"/>
  <c r="AA12" i="4"/>
  <c r="AB12" i="4"/>
  <c r="AC12" i="4"/>
  <c r="R13" i="4"/>
  <c r="S13" i="4"/>
  <c r="T13" i="4"/>
  <c r="U13" i="4"/>
  <c r="V13" i="4"/>
  <c r="W13" i="4"/>
  <c r="X13" i="4"/>
  <c r="Y13" i="4"/>
  <c r="Z13" i="4"/>
  <c r="AA13" i="4"/>
  <c r="AB13" i="4"/>
  <c r="AC13" i="4"/>
  <c r="AD12" i="4" l="1"/>
  <c r="AD13" i="4"/>
  <c r="AD11" i="4"/>
  <c r="AD9" i="4"/>
  <c r="AD7" i="4"/>
  <c r="AD5" i="4"/>
  <c r="AD6" i="4"/>
  <c r="S2" i="4" l="1"/>
  <c r="E21" i="4" l="1"/>
  <c r="E22" i="4"/>
  <c r="E20" i="4"/>
  <c r="O4" i="4"/>
  <c r="C22" i="4" s="1"/>
  <c r="O3" i="4"/>
  <c r="C21" i="4" s="1"/>
  <c r="O2" i="4"/>
  <c r="C20" i="4" s="1"/>
  <c r="AC4" i="4"/>
  <c r="AB4" i="4"/>
  <c r="AA4" i="4"/>
  <c r="Z4" i="4"/>
  <c r="Y4" i="4"/>
  <c r="X4" i="4"/>
  <c r="W4" i="4"/>
  <c r="V4" i="4"/>
  <c r="V14" i="4" s="1"/>
  <c r="U4" i="4"/>
  <c r="U14" i="4" s="1"/>
  <c r="T4" i="4"/>
  <c r="T14" i="4" s="1"/>
  <c r="S4" i="4"/>
  <c r="R4" i="4"/>
  <c r="AC3" i="4"/>
  <c r="AB3" i="4"/>
  <c r="AA3" i="4"/>
  <c r="Z3" i="4"/>
  <c r="Z14" i="4" s="1"/>
  <c r="Y3" i="4"/>
  <c r="Y14" i="4" s="1"/>
  <c r="X3" i="4"/>
  <c r="W3" i="4"/>
  <c r="V3" i="4"/>
  <c r="U3" i="4"/>
  <c r="T3" i="4"/>
  <c r="S3" i="4"/>
  <c r="R3" i="4"/>
  <c r="AC2" i="4"/>
  <c r="AB2" i="4"/>
  <c r="AB14" i="4" s="1"/>
  <c r="AA2" i="4"/>
  <c r="Z2" i="4"/>
  <c r="Y2" i="4"/>
  <c r="X2" i="4"/>
  <c r="W2" i="4"/>
  <c r="V2" i="4"/>
  <c r="U2" i="4"/>
  <c r="T2" i="4"/>
  <c r="R2" i="4"/>
  <c r="W14" i="4" l="1"/>
  <c r="X14" i="4"/>
  <c r="AA14" i="4"/>
  <c r="AC14" i="4"/>
  <c r="O14" i="4"/>
  <c r="D21" i="4" s="1"/>
  <c r="AD3" i="4"/>
  <c r="AD4" i="4"/>
  <c r="AD2" i="4"/>
  <c r="F17" i="1" s="1"/>
  <c r="AD14" i="4" l="1"/>
  <c r="F16" i="1" s="1"/>
  <c r="D22" i="4"/>
  <c r="D20" i="4"/>
  <c r="D24" i="4"/>
  <c r="D27" i="4"/>
  <c r="D28" i="4"/>
  <c r="D29" i="4"/>
  <c r="D31" i="4"/>
  <c r="D30" i="4"/>
  <c r="D25" i="4"/>
  <c r="D26" i="4"/>
  <c r="D23" i="4"/>
  <c r="F20" i="4" l="1"/>
  <c r="G16" i="1" s="1"/>
  <c r="G21" i="1" l="1"/>
  <c r="G12" i="1"/>
  <c r="G8" i="1"/>
  <c r="G7" i="1"/>
</calcChain>
</file>

<file path=xl/sharedStrings.xml><?xml version="1.0" encoding="utf-8"?>
<sst xmlns="http://schemas.openxmlformats.org/spreadsheetml/2006/main" count="164" uniqueCount="93">
  <si>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</si>
  <si>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</si>
  <si>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</si>
  <si>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</si>
  <si>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</si>
  <si>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</si>
  <si>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</si>
  <si>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</si>
  <si>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</si>
  <si>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</si>
  <si>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</si>
  <si>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</si>
  <si>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</si>
  <si>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</si>
  <si>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</si>
  <si>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</si>
  <si>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</si>
  <si>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</si>
  <si>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</si>
  <si>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</si>
  <si>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BFX-AT100 model</t>
  </si>
  <si>
    <t>4. OUTPUTS</t>
  </si>
  <si>
    <t>treatment methods</t>
  </si>
  <si>
    <t>product defect rate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</si>
  <si>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</si>
  <si>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</si>
  <si>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</si>
  <si>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</si>
  <si>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</si>
  <si>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</si>
  <si>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</si>
  <si>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</si>
  <si>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</si>
  <si>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</si>
  <si>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</si>
  <si>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</si>
  <si>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</si>
  <si>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</si>
  <si>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</si>
  <si>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</si>
  <si>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</si>
  <si>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</si>
  <si>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</si>
  <si>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</si>
  <si>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</si>
  <si>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</si>
  <si>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</si>
  <si>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</si>
  <si>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</si>
  <si>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</si>
  <si>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</si>
  <si>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</si>
  <si>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2023.06</t>
    <phoneticPr fontId="11" type="noConversion"/>
  </si>
  <si>
    <t>2023.07</t>
    <phoneticPr fontId="11" type="noConversion"/>
  </si>
  <si>
    <t>2023.08</t>
    <phoneticPr fontId="11" type="noConversion"/>
  </si>
  <si>
    <t>2023.09</t>
    <phoneticPr fontId="11" type="noConversion"/>
  </si>
  <si>
    <t>2023.10</t>
  </si>
  <si>
    <t>2023.11</t>
  </si>
  <si>
    <t>2023.12</t>
  </si>
  <si>
    <t>Building</t>
  </si>
  <si>
    <t>P/N</t>
    <phoneticPr fontId="20" type="noConversion"/>
  </si>
  <si>
    <t xml:space="preserve"> Jan'23</t>
  </si>
  <si>
    <t xml:space="preserve"> Feb'23</t>
  </si>
  <si>
    <t xml:space="preserve"> Mar'23</t>
  </si>
  <si>
    <t xml:space="preserve"> Apr'23</t>
  </si>
  <si>
    <t xml:space="preserve"> May'23</t>
  </si>
  <si>
    <t xml:space="preserve"> Jun'23</t>
  </si>
  <si>
    <t xml:space="preserve"> Jul'23</t>
  </si>
  <si>
    <t xml:space="preserve"> Aug'23</t>
  </si>
  <si>
    <t xml:space="preserve"> Sep'23</t>
  </si>
  <si>
    <t xml:space="preserve"> Oct'23</t>
  </si>
  <si>
    <t xml:space="preserve"> Nov'23</t>
  </si>
  <si>
    <t xml:space="preserve"> Dec'23</t>
  </si>
  <si>
    <t>SI CT</t>
    <phoneticPr fontId="21" type="noConversion"/>
  </si>
  <si>
    <t>SI OP</t>
    <phoneticPr fontId="21" type="noConversion"/>
  </si>
  <si>
    <t>SUM</t>
    <phoneticPr fontId="21" type="noConversion"/>
  </si>
  <si>
    <t>F07</t>
  </si>
  <si>
    <t>T99X171.00</t>
  </si>
  <si>
    <t>T03X002.01</t>
  </si>
  <si>
    <t>K18X001.00</t>
  </si>
  <si>
    <t>Total</t>
  </si>
  <si>
    <t>FCST</t>
    <phoneticPr fontId="21" type="noConversion"/>
  </si>
  <si>
    <t>%</t>
    <phoneticPr fontId="21" type="noConversion"/>
  </si>
  <si>
    <t>B01W008.00</t>
  </si>
  <si>
    <t>B01W009.02</t>
  </si>
  <si>
    <t>B01W009.03</t>
  </si>
  <si>
    <t>B01W009.04</t>
  </si>
  <si>
    <t>B01W013.05</t>
  </si>
  <si>
    <t>B01W013.08</t>
  </si>
  <si>
    <t>B01W013.02</t>
  </si>
  <si>
    <t>J21O002.00</t>
  </si>
  <si>
    <t>J21B004.00</t>
  </si>
  <si>
    <t>Total SI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</si>
</sst>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(* #,##0.00_);_(* \(#,##0.00\);_(* &quot;-&quot;??_);_(@_)"/>
    <numFmt numFmtId="164" formatCode="_-* #,##0.00_-;\-* #,##0.00_-;_-* &quot;-&quot;??_-;_-@_-"/>
    <numFmt numFmtId="165" formatCode="&quot; &quot;* #,##0&quot; &quot;;&quot;-&quot;* #,##0&quot; &quot;;&quot; &quot;* &quot;- &quot;"/>
    <numFmt numFmtId="166" formatCode="#,##0.0"/>
    <numFmt numFmtId="167" formatCode="0.00_ "/>
    <numFmt numFmtId="168" formatCode="0.00;_"/>
    <numFmt numFmtId="169" formatCode="0.000_);[Red]\(0.000\)"/>
    <numFmt numFmtId="170" formatCode="_-* #,##0_-;\-* #,##0_-;_-* &quot;-&quot;??_-;_-@_-"/>
    <numFmt numFmtId="171" formatCode="0.0"/>
    <numFmt numFmtId="172" formatCode="0.000000"/>
    <numFmt numFmtId="173" formatCode="_(* #,##0.0000_);_(* \(#,##0.0000\);_(* &quot;-&quot;??_);_(@_)"/>
    <numFmt numFmtId="174" formatCode="0.00000"/>
    <numFmt numFmtId="175" formatCode="#,##0.000"/>
    <numFmt numFmtId="176" formatCode="0.000"/>
  </numFmts>
  <fonts count="40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  <font>
      <sz val="10"/>
      <color indexed="8"/>
      <name val="Helvetica Neue"/>
      <family val="3"/>
    </font>
    <font>
      <sz val="12"/>
      <name val="新細明體"/>
      <family val="1"/>
    </font>
    <font>
      <sz val="9"/>
      <name val="AR Maokai Heavy Big5"/>
      <family val="3"/>
      <charset val="136"/>
    </font>
    <font>
      <sz val="12"/>
      <name val="新細明體"/>
      <family val="1"/>
      <charset val="136"/>
    </font>
    <font>
      <sz val="11"/>
      <color theme="1"/>
      <name val="Helvetica Neue"/>
      <family val="2"/>
      <scheme val="minor"/>
    </font>
    <font>
      <sz val="9"/>
      <name val="Helvetica Neue"/>
      <family val="3"/>
      <charset val="136"/>
      <scheme val="minor"/>
    </font>
    <font>
      <sz val="10"/>
      <color indexed="8"/>
      <name val="Helvetica Neue"/>
      <family val="3"/>
    </font>
    <font>
      <sz val="10"/>
      <color indexed="8"/>
      <name val="timeue"/>
    </font>
    <font>
      <b/>
      <sz val="10"/>
      <name val="Times New Roman"/>
      <family val="1"/>
    </font>
    <font>
      <sz val="10"/>
      <color rgb="FFFFFF00"/>
      <name val="Times New Roman"/>
      <family val="1"/>
    </font>
    <font>
      <b/>
      <sz val="9"/>
      <name val="Arial"/>
      <family val="2"/>
    </font>
    <font>
      <b/>
      <sz val="9"/>
      <color rgb="FFFFFF00"/>
      <name val="Arial"/>
      <family val="2"/>
    </font>
    <font>
      <b/>
      <sz val="9"/>
      <color indexed="8"/>
      <name val="Helvetica Neue"/>
      <family val="3"/>
    </font>
    <font>
      <sz val="8"/>
      <name val="Times New Roman"/>
      <family val="1"/>
    </font>
    <font>
      <b/>
      <sz val="8"/>
      <name val="Times New Roman"/>
      <family val="1"/>
    </font>
    <font>
      <sz val="8"/>
      <color rgb="FFFFFF00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rgb="FFFFFF00"/>
      <name val="Times New Roman"/>
      <family val="1"/>
    </font>
    <font>
      <sz val="9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游ゴシック"/>
    </font>
    <font>
      <sz val="11"/>
      <color theme="1"/>
      <name val="游ゴシック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 applyNumberFormat="0" applyFill="0" applyBorder="0" applyProtection="0">
      <alignment vertical="top" wrapText="1"/>
    </xf>
    <xf numFmtId="0" fontId="12" fillId="0" borderId="35" applyNumberFormat="0" applyFill="0" applyBorder="0" applyProtection="0">
      <alignment vertical="top" wrapText="1"/>
    </xf>
    <xf numFmtId="9" fontId="16" fillId="0" borderId="0" applyFont="0" applyFill="0" applyBorder="0" applyAlignment="0" applyProtection="0">
      <alignment vertical="center"/>
    </xf>
    <xf numFmtId="0" fontId="19" fillId="0" borderId="35"/>
    <xf numFmtId="43" fontId="17" fillId="0" borderId="35" applyFont="0" applyFill="0" applyBorder="0" applyAlignment="0" applyProtection="0"/>
    <xf numFmtId="164" fontId="19" fillId="0" borderId="35" applyFont="0" applyFill="0" applyBorder="0" applyAlignment="0" applyProtection="0"/>
    <xf numFmtId="43" fontId="22" fillId="0" borderId="0" applyFont="0" applyFill="0" applyBorder="0" applyAlignment="0" applyProtection="0"/>
  </cellStyleXfs>
  <cellXfs count="144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65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0" borderId="35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5" xfId="1" applyNumberFormat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49" fontId="1" fillId="2" borderId="26" xfId="1" applyNumberFormat="1" applyFont="1" applyFill="1" applyBorder="1" applyAlignment="1">
      <alignment vertical="center"/>
    </xf>
    <xf numFmtId="49" fontId="6" fillId="2" borderId="26" xfId="1" applyNumberFormat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1" xfId="1" applyFont="1" applyBorder="1" applyAlignment="1">
      <alignment horizontal="center" vertical="center"/>
    </xf>
    <xf numFmtId="167" fontId="13" fillId="0" borderId="41" xfId="1" applyNumberFormat="1" applyFont="1" applyBorder="1" applyAlignment="1">
      <alignment horizontal="center" vertical="center"/>
    </xf>
    <xf numFmtId="2" fontId="13" fillId="0" borderId="41" xfId="1" applyNumberFormat="1" applyFont="1" applyBorder="1" applyAlignment="1">
      <alignment horizontal="center" vertical="center"/>
    </xf>
    <xf numFmtId="168" fontId="13" fillId="0" borderId="41" xfId="1" applyNumberFormat="1" applyFont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18" xfId="1" applyFont="1" applyFill="1" applyBorder="1" applyAlignment="1">
      <alignment vertical="center"/>
    </xf>
    <xf numFmtId="0" fontId="1" fillId="2" borderId="21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5" xfId="1" applyNumberFormat="1" applyFont="1" applyFill="1" applyBorder="1" applyAlignment="1">
      <alignment vertical="center"/>
    </xf>
    <xf numFmtId="164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69" fontId="15" fillId="2" borderId="5" xfId="0" applyNumberFormat="1" applyFont="1" applyFill="1" applyBorder="1" applyAlignment="1">
      <alignment vertical="center"/>
    </xf>
    <xf numFmtId="169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  <xf numFmtId="165" fontId="1" fillId="6" borderId="13" xfId="0" applyNumberFormat="1" applyFont="1" applyFill="1" applyBorder="1" applyAlignment="1">
      <alignment vertical="center"/>
    </xf>
    <xf numFmtId="3" fontId="1" fillId="6" borderId="13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3" fontId="1" fillId="2" borderId="19" xfId="0" applyNumberFormat="1" applyFont="1" applyFill="1" applyBorder="1" applyAlignment="1">
      <alignment vertical="center"/>
    </xf>
    <xf numFmtId="170" fontId="23" fillId="0" borderId="41" xfId="0" applyNumberFormat="1" applyFont="1" applyBorder="1" applyAlignment="1">
      <alignment horizontal="center" vertical="center" wrapText="1"/>
    </xf>
    <xf numFmtId="10" fontId="23" fillId="0" borderId="41" xfId="2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4" fillId="7" borderId="41" xfId="3" applyNumberFormat="1" applyFont="1" applyFill="1" applyBorder="1" applyAlignment="1">
      <alignment horizontal="center" vertical="center" wrapText="1"/>
    </xf>
    <xf numFmtId="0" fontId="25" fillId="10" borderId="41" xfId="1" applyFont="1" applyFill="1" applyBorder="1" applyAlignment="1">
      <alignment horizontal="center" vertical="center"/>
    </xf>
    <xf numFmtId="172" fontId="1" fillId="0" borderId="0" xfId="0" applyNumberFormat="1" applyFont="1" applyAlignment="1">
      <alignment vertical="center"/>
    </xf>
    <xf numFmtId="173" fontId="1" fillId="6" borderId="13" xfId="6" applyNumberFormat="1" applyFont="1" applyFill="1" applyBorder="1" applyAlignment="1">
      <alignment vertical="center"/>
    </xf>
    <xf numFmtId="170" fontId="0" fillId="0" borderId="0" xfId="0" applyNumberFormat="1">
      <alignment vertical="top" wrapText="1"/>
    </xf>
    <xf numFmtId="0" fontId="26" fillId="7" borderId="41" xfId="1" applyFont="1" applyFill="1" applyBorder="1" applyAlignment="1">
      <alignment horizontal="center" vertical="center"/>
    </xf>
    <xf numFmtId="0" fontId="26" fillId="7" borderId="41" xfId="3" applyNumberFormat="1" applyFont="1" applyFill="1" applyBorder="1" applyAlignment="1">
      <alignment horizontal="center" vertical="center" wrapText="1"/>
    </xf>
    <xf numFmtId="170" fontId="26" fillId="7" borderId="41" xfId="4" applyNumberFormat="1" applyFont="1" applyFill="1" applyBorder="1" applyAlignment="1">
      <alignment horizontal="center" vertical="center" wrapText="1"/>
    </xf>
    <xf numFmtId="0" fontId="27" fillId="10" borderId="41" xfId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top" wrapText="1"/>
    </xf>
    <xf numFmtId="170" fontId="29" fillId="0" borderId="41" xfId="4" applyNumberFormat="1" applyFont="1" applyFill="1" applyBorder="1" applyAlignment="1">
      <alignment vertical="center"/>
    </xf>
    <xf numFmtId="170" fontId="30" fillId="7" borderId="41" xfId="4" applyNumberFormat="1" applyFont="1" applyFill="1" applyBorder="1" applyAlignment="1">
      <alignment horizontal="center" vertical="center" wrapText="1"/>
    </xf>
    <xf numFmtId="0" fontId="31" fillId="10" borderId="41" xfId="1" applyFont="1" applyFill="1" applyBorder="1" applyAlignment="1">
      <alignment horizontal="center" vertical="center"/>
    </xf>
    <xf numFmtId="0" fontId="32" fillId="0" borderId="0" xfId="0" applyFont="1">
      <alignment vertical="top" wrapText="1"/>
    </xf>
    <xf numFmtId="170" fontId="33" fillId="9" borderId="41" xfId="4" applyNumberFormat="1" applyFont="1" applyFill="1" applyBorder="1" applyAlignment="1">
      <alignment horizontal="left" vertical="center"/>
    </xf>
    <xf numFmtId="0" fontId="35" fillId="10" borderId="41" xfId="1" applyFont="1" applyFill="1" applyBorder="1" applyAlignment="1">
      <alignment vertical="center"/>
    </xf>
    <xf numFmtId="0" fontId="36" fillId="0" borderId="0" xfId="0" applyFont="1">
      <alignment vertical="top" wrapText="1"/>
    </xf>
    <xf numFmtId="0" fontId="29" fillId="8" borderId="41" xfId="5" applyNumberFormat="1" applyFont="1" applyFill="1" applyBorder="1" applyAlignment="1">
      <alignment horizontal="center" vertical="center"/>
    </xf>
    <xf numFmtId="170" fontId="34" fillId="9" borderId="41" xfId="4" applyNumberFormat="1" applyFont="1" applyFill="1" applyBorder="1" applyAlignment="1">
      <alignment horizontal="center" vertical="center" wrapText="1"/>
    </xf>
    <xf numFmtId="170" fontId="30" fillId="0" borderId="41" xfId="4" applyNumberFormat="1" applyFont="1" applyFill="1" applyBorder="1" applyAlignment="1">
      <alignment horizontal="center" vertical="center" wrapText="1"/>
    </xf>
    <xf numFmtId="174" fontId="1" fillId="0" borderId="0" xfId="0" applyNumberFormat="1" applyFont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3" fontId="0" fillId="0" borderId="0" xfId="0" applyNumberFormat="1">
      <alignment vertical="top" wrapText="1"/>
    </xf>
    <xf numFmtId="4" fontId="4" fillId="4" borderId="13" xfId="1" applyNumberFormat="1" applyFont="1" applyFill="1" applyBorder="1" applyAlignment="1">
      <alignment horizontal="center" vertical="center"/>
    </xf>
    <xf numFmtId="3" fontId="4" fillId="4" borderId="13" xfId="1" applyNumberFormat="1" applyFont="1" applyFill="1" applyBorder="1" applyAlignment="1">
      <alignment horizontal="center" vertical="center"/>
    </xf>
    <xf numFmtId="175" fontId="1" fillId="2" borderId="13" xfId="1" applyNumberFormat="1" applyFont="1" applyFill="1" applyBorder="1" applyAlignment="1">
      <alignment horizontal="right" vertical="center"/>
    </xf>
    <xf numFmtId="176" fontId="1" fillId="2" borderId="33" xfId="1" applyNumberFormat="1" applyFont="1" applyFill="1" applyBorder="1" applyAlignment="1">
      <alignment vertical="center"/>
    </xf>
    <xf numFmtId="4" fontId="1" fillId="2" borderId="35" xfId="1" applyNumberFormat="1" applyFont="1" applyFill="1" applyBorder="1" applyAlignment="1">
      <alignment vertical="center"/>
    </xf>
    <xf numFmtId="0" fontId="38" fillId="2" borderId="35" xfId="1" applyFont="1" applyFill="1" applyBorder="1" applyAlignment="1">
      <alignment vertical="center"/>
    </xf>
    <xf numFmtId="0" fontId="15" fillId="2" borderId="37" xfId="1" applyFont="1" applyFill="1" applyBorder="1" applyAlignment="1">
      <alignment vertical="center"/>
    </xf>
    <xf numFmtId="0" fontId="39" fillId="0" borderId="35" xfId="1" applyNumberFormat="1" applyFont="1" applyAlignment="1">
      <alignment vertical="center"/>
    </xf>
    <xf numFmtId="2" fontId="1" fillId="0" borderId="35" xfId="1" applyNumberFormat="1" applyFont="1" applyAlignment="1">
      <alignment vertical="center"/>
    </xf>
    <xf numFmtId="49" fontId="6" fillId="11" borderId="1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4" fillId="9" borderId="41" xfId="1" applyNumberFormat="1" applyFont="1" applyFill="1" applyBorder="1" applyAlignment="1">
      <alignment horizontal="center" vertical="center"/>
    </xf>
    <xf numFmtId="171" fontId="23" fillId="0" borderId="41" xfId="0" applyNumberFormat="1" applyFont="1" applyBorder="1" applyAlignment="1">
      <alignment horizontal="center" vertical="center" wrapText="1"/>
    </xf>
    <xf numFmtId="0" fontId="37" fillId="0" borderId="42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44" xfId="1" applyFont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49" fontId="1" fillId="2" borderId="29" xfId="1" applyNumberFormat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vertical="center"/>
    </xf>
    <xf numFmtId="0" fontId="1" fillId="2" borderId="31" xfId="1" applyFont="1" applyFill="1" applyBorder="1" applyAlignment="1">
      <alignment vertical="center"/>
    </xf>
    <xf numFmtId="0" fontId="13" fillId="5" borderId="38" xfId="1" applyFont="1" applyFill="1" applyBorder="1" applyAlignment="1">
      <alignment horizontal="center" vertical="center" wrapText="1"/>
    </xf>
    <xf numFmtId="0" fontId="13" fillId="5" borderId="39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</cellXfs>
  <cellStyles count="7">
    <cellStyle name="9" xfId="3"/>
    <cellStyle name="Comma" xfId="6" builtinId="3"/>
    <cellStyle name="Comma 1118" xfId="5"/>
    <cellStyle name="Comma 2" xfId="4"/>
    <cellStyle name="Normal" xfId="0" builtinId="0"/>
    <cellStyle name="Normal 2" xfId="1"/>
    <cellStyle name="Percent" xfId="2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78441</xdr:colOff>
      <xdr:row>6</xdr:row>
      <xdr:rowOff>33618</xdr:rowOff>
    </xdr:from>
    <xdr:to>
      <xdr:col>15</xdr:col>
      <xdr:colOff>930829</xdr:colOff>
      <xdr:row>6</xdr:row>
      <xdr:rowOff>694765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0" t="3484" r="7176" b="16577"/>
        <a:stretch/>
      </xdr:blipFill>
      <xdr:spPr>
        <a:xfrm>
          <a:off x="13215321" y="1519518"/>
          <a:ext cx="852388" cy="661147"/>
        </a:xfrm>
        <a:prstGeom prst="rect">
          <a:avLst/>
        </a:prstGeom>
      </xdr:spPr>
    </xdr:pic>
    <xdr:clientData/>
  </xdr:twoCellAnchor>
  <xdr:twoCellAnchor editAs="oneCell">
    <xdr:from>
      <xdr:col>11</xdr:col>
      <xdr:colOff>206089</xdr:colOff>
      <xdr:row>6</xdr:row>
      <xdr:rowOff>44825</xdr:rowOff>
    </xdr:from>
    <xdr:to>
      <xdr:col>11</xdr:col>
      <xdr:colOff>952501</xdr:colOff>
      <xdr:row>6</xdr:row>
      <xdr:rowOff>623158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88089" y="1530725"/>
          <a:ext cx="746412" cy="578333"/>
        </a:xfrm>
        <a:prstGeom prst="rect">
          <a:avLst/>
        </a:prstGeom>
      </xdr:spPr>
    </xdr:pic>
    <xdr:clientData/>
  </xdr:twoCellAnchor>
  <xdr:twoCellAnchor editAs="oneCell">
    <xdr:from>
      <xdr:col>13</xdr:col>
      <xdr:colOff>74866</xdr:colOff>
      <xdr:row>6</xdr:row>
      <xdr:rowOff>51955</xdr:rowOff>
    </xdr:from>
    <xdr:to>
      <xdr:col>13</xdr:col>
      <xdr:colOff>896010</xdr:colOff>
      <xdr:row>6</xdr:row>
      <xdr:rowOff>658091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4306" y="1537855"/>
          <a:ext cx="821144" cy="606136"/>
        </a:xfrm>
        <a:prstGeom prst="rect">
          <a:avLst/>
        </a:prstGeom>
      </xdr:spPr>
    </xdr:pic>
    <xdr:clientData/>
  </xdr:twoCellAnchor>
  <xdr:twoCellAnchor editAs="oneCell">
    <xdr:from>
      <xdr:col>15</xdr:col>
      <xdr:colOff>50397</xdr:colOff>
      <xdr:row>7</xdr:row>
      <xdr:rowOff>87922</xdr:rowOff>
    </xdr:from>
    <xdr:to>
      <xdr:col>15</xdr:col>
      <xdr:colOff>923193</xdr:colOff>
      <xdr:row>7</xdr:row>
      <xdr:rowOff>740772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297250" y="2172509"/>
          <a:ext cx="652850" cy="872796"/>
        </a:xfrm>
        <a:prstGeom prst="rect">
          <a:avLst/>
        </a:prstGeom>
      </xdr:spPr>
    </xdr:pic>
    <xdr:clientData/>
  </xdr:twoCellAnchor>
  <xdr:twoCellAnchor editAs="oneCell">
    <xdr:from>
      <xdr:col>14</xdr:col>
      <xdr:colOff>76897</xdr:colOff>
      <xdr:row>7</xdr:row>
      <xdr:rowOff>82977</xdr:rowOff>
    </xdr:from>
    <xdr:to>
      <xdr:col>14</xdr:col>
      <xdr:colOff>945172</xdr:colOff>
      <xdr:row>7</xdr:row>
      <xdr:rowOff>736686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5057" y="2277537"/>
          <a:ext cx="868275" cy="653709"/>
        </a:xfrm>
        <a:prstGeom prst="rect">
          <a:avLst/>
        </a:prstGeom>
      </xdr:spPr>
    </xdr:pic>
    <xdr:clientData/>
  </xdr:twoCellAnchor>
  <xdr:twoCellAnchor editAs="oneCell">
    <xdr:from>
      <xdr:col>13</xdr:col>
      <xdr:colOff>51837</xdr:colOff>
      <xdr:row>7</xdr:row>
      <xdr:rowOff>75138</xdr:rowOff>
    </xdr:from>
    <xdr:to>
      <xdr:col>13</xdr:col>
      <xdr:colOff>929472</xdr:colOff>
      <xdr:row>7</xdr:row>
      <xdr:rowOff>725365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1277" y="2269698"/>
          <a:ext cx="877635" cy="650227"/>
        </a:xfrm>
        <a:prstGeom prst="rect">
          <a:avLst/>
        </a:prstGeom>
      </xdr:spPr>
    </xdr:pic>
    <xdr:clientData/>
  </xdr:twoCellAnchor>
  <xdr:twoCellAnchor editAs="oneCell">
    <xdr:from>
      <xdr:col>12</xdr:col>
      <xdr:colOff>52682</xdr:colOff>
      <xdr:row>7</xdr:row>
      <xdr:rowOff>65942</xdr:rowOff>
    </xdr:from>
    <xdr:to>
      <xdr:col>12</xdr:col>
      <xdr:colOff>952126</xdr:colOff>
      <xdr:row>7</xdr:row>
      <xdr:rowOff>732692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3402" y="2260502"/>
          <a:ext cx="899444" cy="666750"/>
        </a:xfrm>
        <a:prstGeom prst="rect">
          <a:avLst/>
        </a:prstGeom>
      </xdr:spPr>
    </xdr:pic>
    <xdr:clientData/>
  </xdr:twoCellAnchor>
  <xdr:twoCellAnchor editAs="oneCell">
    <xdr:from>
      <xdr:col>11</xdr:col>
      <xdr:colOff>65304</xdr:colOff>
      <xdr:row>7</xdr:row>
      <xdr:rowOff>97773</xdr:rowOff>
    </xdr:from>
    <xdr:to>
      <xdr:col>11</xdr:col>
      <xdr:colOff>927980</xdr:colOff>
      <xdr:row>7</xdr:row>
      <xdr:rowOff>738187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7304" y="2292333"/>
          <a:ext cx="862676" cy="640414"/>
        </a:xfrm>
        <a:prstGeom prst="rect">
          <a:avLst/>
        </a:prstGeom>
      </xdr:spPr>
    </xdr:pic>
    <xdr:clientData/>
  </xdr:twoCellAnchor>
  <xdr:twoCellAnchor editAs="oneCell">
    <xdr:from>
      <xdr:col>14</xdr:col>
      <xdr:colOff>138115</xdr:colOff>
      <xdr:row>9</xdr:row>
      <xdr:rowOff>38101</xdr:rowOff>
    </xdr:from>
    <xdr:to>
      <xdr:col>14</xdr:col>
      <xdr:colOff>773253</xdr:colOff>
      <xdr:row>9</xdr:row>
      <xdr:rowOff>857250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57" b="22966"/>
        <a:stretch/>
      </xdr:blipFill>
      <xdr:spPr>
        <a:xfrm>
          <a:off x="12086275" y="3695701"/>
          <a:ext cx="635138" cy="819149"/>
        </a:xfrm>
        <a:prstGeom prst="rect">
          <a:avLst/>
        </a:prstGeom>
      </xdr:spPr>
    </xdr:pic>
    <xdr:clientData/>
  </xdr:twoCellAnchor>
  <xdr:twoCellAnchor editAs="oneCell">
    <xdr:from>
      <xdr:col>12</xdr:col>
      <xdr:colOff>63644</xdr:colOff>
      <xdr:row>9</xdr:row>
      <xdr:rowOff>138744</xdr:rowOff>
    </xdr:from>
    <xdr:to>
      <xdr:col>12</xdr:col>
      <xdr:colOff>963498</xdr:colOff>
      <xdr:row>9</xdr:row>
      <xdr:rowOff>873126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9" r="23062" b="2860"/>
        <a:stretch/>
      </xdr:blipFill>
      <xdr:spPr>
        <a:xfrm>
          <a:off x="9634364" y="3796344"/>
          <a:ext cx="899854" cy="734382"/>
        </a:xfrm>
        <a:prstGeom prst="rect">
          <a:avLst/>
        </a:prstGeom>
      </xdr:spPr>
    </xdr:pic>
    <xdr:clientData/>
  </xdr:twoCellAnchor>
  <xdr:twoCellAnchor editAs="oneCell">
    <xdr:from>
      <xdr:col>13</xdr:col>
      <xdr:colOff>176608</xdr:colOff>
      <xdr:row>9</xdr:row>
      <xdr:rowOff>56719</xdr:rowOff>
    </xdr:from>
    <xdr:to>
      <xdr:col>13</xdr:col>
      <xdr:colOff>837499</xdr:colOff>
      <xdr:row>9</xdr:row>
      <xdr:rowOff>889001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178" b="22758"/>
        <a:stretch/>
      </xdr:blipFill>
      <xdr:spPr>
        <a:xfrm>
          <a:off x="10936048" y="3714319"/>
          <a:ext cx="660891" cy="832282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86464</xdr:rowOff>
    </xdr:from>
    <xdr:to>
      <xdr:col>15</xdr:col>
      <xdr:colOff>929988</xdr:colOff>
      <xdr:row>9</xdr:row>
      <xdr:rowOff>809626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74" r="24190" b="6935"/>
        <a:stretch/>
      </xdr:blipFill>
      <xdr:spPr>
        <a:xfrm>
          <a:off x="13222605" y="3744064"/>
          <a:ext cx="844263" cy="723162"/>
        </a:xfrm>
        <a:prstGeom prst="rect">
          <a:avLst/>
        </a:prstGeom>
      </xdr:spPr>
    </xdr:pic>
    <xdr:clientData/>
  </xdr:twoCellAnchor>
  <xdr:twoCellAnchor editAs="oneCell">
    <xdr:from>
      <xdr:col>11</xdr:col>
      <xdr:colOff>73061</xdr:colOff>
      <xdr:row>9</xdr:row>
      <xdr:rowOff>155725</xdr:rowOff>
    </xdr:from>
    <xdr:to>
      <xdr:col>11</xdr:col>
      <xdr:colOff>970199</xdr:colOff>
      <xdr:row>9</xdr:row>
      <xdr:rowOff>825503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99" t="8877" b="26333"/>
        <a:stretch/>
      </xdr:blipFill>
      <xdr:spPr>
        <a:xfrm rot="16200000">
          <a:off x="8568741" y="3699645"/>
          <a:ext cx="669778" cy="897138"/>
        </a:xfrm>
        <a:prstGeom prst="rect">
          <a:avLst/>
        </a:prstGeom>
      </xdr:spPr>
    </xdr:pic>
    <xdr:clientData/>
  </xdr:twoCellAnchor>
  <xdr:twoCellAnchor editAs="oneCell">
    <xdr:from>
      <xdr:col>11</xdr:col>
      <xdr:colOff>140804</xdr:colOff>
      <xdr:row>10</xdr:row>
      <xdr:rowOff>42555</xdr:rowOff>
    </xdr:from>
    <xdr:to>
      <xdr:col>11</xdr:col>
      <xdr:colOff>927652</xdr:colOff>
      <xdr:row>10</xdr:row>
      <xdr:rowOff>853539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27" b="12532"/>
        <a:stretch/>
      </xdr:blipFill>
      <xdr:spPr>
        <a:xfrm>
          <a:off x="8522804" y="4622175"/>
          <a:ext cx="786848" cy="810984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10</xdr:row>
      <xdr:rowOff>52592</xdr:rowOff>
    </xdr:from>
    <xdr:to>
      <xdr:col>15</xdr:col>
      <xdr:colOff>816428</xdr:colOff>
      <xdr:row>10</xdr:row>
      <xdr:rowOff>803413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264933" y="4694659"/>
          <a:ext cx="750821" cy="625928"/>
        </a:xfrm>
        <a:prstGeom prst="rect">
          <a:avLst/>
        </a:prstGeom>
      </xdr:spPr>
    </xdr:pic>
    <xdr:clientData/>
  </xdr:twoCellAnchor>
  <xdr:twoCellAnchor editAs="oneCell">
    <xdr:from>
      <xdr:col>14</xdr:col>
      <xdr:colOff>176891</xdr:colOff>
      <xdr:row>10</xdr:row>
      <xdr:rowOff>29096</xdr:rowOff>
    </xdr:from>
    <xdr:to>
      <xdr:col>14</xdr:col>
      <xdr:colOff>816428</xdr:colOff>
      <xdr:row>10</xdr:row>
      <xdr:rowOff>861193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028771" y="4704996"/>
          <a:ext cx="832097" cy="639537"/>
        </a:xfrm>
        <a:prstGeom prst="rect">
          <a:avLst/>
        </a:prstGeom>
      </xdr:spPr>
    </xdr:pic>
    <xdr:clientData/>
  </xdr:twoCellAnchor>
  <xdr:twoCellAnchor editAs="oneCell">
    <xdr:from>
      <xdr:col>13</xdr:col>
      <xdr:colOff>136069</xdr:colOff>
      <xdr:row>10</xdr:row>
      <xdr:rowOff>24118</xdr:rowOff>
    </xdr:from>
    <xdr:to>
      <xdr:col>13</xdr:col>
      <xdr:colOff>768182</xdr:colOff>
      <xdr:row>10</xdr:row>
      <xdr:rowOff>843643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801803" y="4697444"/>
          <a:ext cx="819525" cy="632113"/>
        </a:xfrm>
        <a:prstGeom prst="rect">
          <a:avLst/>
        </a:prstGeom>
      </xdr:spPr>
    </xdr:pic>
    <xdr:clientData/>
  </xdr:twoCellAnchor>
  <xdr:twoCellAnchor editAs="oneCell">
    <xdr:from>
      <xdr:col>12</xdr:col>
      <xdr:colOff>163285</xdr:colOff>
      <xdr:row>10</xdr:row>
      <xdr:rowOff>44177</xdr:rowOff>
    </xdr:from>
    <xdr:to>
      <xdr:col>12</xdr:col>
      <xdr:colOff>789212</xdr:colOff>
      <xdr:row>10</xdr:row>
      <xdr:rowOff>849048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44533" y="4713269"/>
          <a:ext cx="804871" cy="625927"/>
        </a:xfrm>
        <a:prstGeom prst="rect">
          <a:avLst/>
        </a:prstGeom>
      </xdr:spPr>
    </xdr:pic>
    <xdr:clientData/>
  </xdr:twoCellAnchor>
  <xdr:twoCellAnchor editAs="oneCell">
    <xdr:from>
      <xdr:col>13</xdr:col>
      <xdr:colOff>135506</xdr:colOff>
      <xdr:row>8</xdr:row>
      <xdr:rowOff>5980</xdr:rowOff>
    </xdr:from>
    <xdr:to>
      <xdr:col>13</xdr:col>
      <xdr:colOff>762000</xdr:colOff>
      <xdr:row>8</xdr:row>
      <xdr:rowOff>572342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10925012" y="3016294"/>
          <a:ext cx="566362" cy="626494"/>
        </a:xfrm>
        <a:prstGeom prst="rect">
          <a:avLst/>
        </a:prstGeom>
      </xdr:spPr>
    </xdr:pic>
    <xdr:clientData/>
  </xdr:twoCellAnchor>
  <xdr:twoCellAnchor editAs="oneCell">
    <xdr:from>
      <xdr:col>15</xdr:col>
      <xdr:colOff>110658</xdr:colOff>
      <xdr:row>8</xdr:row>
      <xdr:rowOff>18405</xdr:rowOff>
    </xdr:from>
    <xdr:to>
      <xdr:col>15</xdr:col>
      <xdr:colOff>753717</xdr:colOff>
      <xdr:row>8</xdr:row>
      <xdr:rowOff>581082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247538" y="3058785"/>
          <a:ext cx="643059" cy="562677"/>
        </a:xfrm>
        <a:prstGeom prst="rect">
          <a:avLst/>
        </a:prstGeom>
      </xdr:spPr>
    </xdr:pic>
    <xdr:clientData/>
  </xdr:twoCellAnchor>
  <xdr:twoCellAnchor editAs="oneCell">
    <xdr:from>
      <xdr:col>11</xdr:col>
      <xdr:colOff>173934</xdr:colOff>
      <xdr:row>8</xdr:row>
      <xdr:rowOff>82827</xdr:rowOff>
    </xdr:from>
    <xdr:to>
      <xdr:col>11</xdr:col>
      <xdr:colOff>857963</xdr:colOff>
      <xdr:row>8</xdr:row>
      <xdr:rowOff>612913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55934" y="3123207"/>
          <a:ext cx="684029" cy="530086"/>
        </a:xfrm>
        <a:prstGeom prst="rect">
          <a:avLst/>
        </a:prstGeom>
      </xdr:spPr>
    </xdr:pic>
    <xdr:clientData/>
  </xdr:twoCellAnchor>
  <xdr:twoCellAnchor editAs="oneCell">
    <xdr:from>
      <xdr:col>12</xdr:col>
      <xdr:colOff>100478</xdr:colOff>
      <xdr:row>8</xdr:row>
      <xdr:rowOff>49695</xdr:rowOff>
    </xdr:from>
    <xdr:to>
      <xdr:col>12</xdr:col>
      <xdr:colOff>737152</xdr:colOff>
      <xdr:row>8</xdr:row>
      <xdr:rowOff>586522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16200000">
          <a:off x="9721121" y="3040152"/>
          <a:ext cx="536827" cy="636674"/>
        </a:xfrm>
        <a:prstGeom prst="rect">
          <a:avLst/>
        </a:prstGeom>
      </xdr:spPr>
    </xdr:pic>
    <xdr:clientData/>
  </xdr:twoCellAnchor>
  <xdr:twoCellAnchor editAs="oneCell">
    <xdr:from>
      <xdr:col>14</xdr:col>
      <xdr:colOff>138780</xdr:colOff>
      <xdr:row>8</xdr:row>
      <xdr:rowOff>69293</xdr:rowOff>
    </xdr:from>
    <xdr:to>
      <xdr:col>14</xdr:col>
      <xdr:colOff>745438</xdr:colOff>
      <xdr:row>8</xdr:row>
      <xdr:rowOff>590677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6200000">
          <a:off x="12129577" y="3067036"/>
          <a:ext cx="521384" cy="606658"/>
        </a:xfrm>
        <a:prstGeom prst="rect">
          <a:avLst/>
        </a:prstGeom>
      </xdr:spPr>
    </xdr:pic>
    <xdr:clientData/>
  </xdr:twoCellAnchor>
  <xdr:twoCellAnchor editAs="oneCell">
    <xdr:from>
      <xdr:col>14</xdr:col>
      <xdr:colOff>120665</xdr:colOff>
      <xdr:row>6</xdr:row>
      <xdr:rowOff>41413</xdr:rowOff>
    </xdr:from>
    <xdr:to>
      <xdr:col>14</xdr:col>
      <xdr:colOff>878079</xdr:colOff>
      <xdr:row>6</xdr:row>
      <xdr:rowOff>670891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068825" y="1527313"/>
          <a:ext cx="757414" cy="629478"/>
        </a:xfrm>
        <a:prstGeom prst="rect">
          <a:avLst/>
        </a:prstGeom>
      </xdr:spPr>
    </xdr:pic>
    <xdr:clientData/>
  </xdr:twoCellAnchor>
  <xdr:twoCellAnchor editAs="oneCell">
    <xdr:from>
      <xdr:col>12</xdr:col>
      <xdr:colOff>107675</xdr:colOff>
      <xdr:row>6</xdr:row>
      <xdr:rowOff>42845</xdr:rowOff>
    </xdr:from>
    <xdr:to>
      <xdr:col>12</xdr:col>
      <xdr:colOff>819979</xdr:colOff>
      <xdr:row>6</xdr:row>
      <xdr:rowOff>656951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678395" y="1528745"/>
          <a:ext cx="712304" cy="61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showGridLines="0" tabSelected="1" zoomScale="85" zoomScaleNormal="85" workbookViewId="0">
      <selection activeCell="I16" sqref="I16"/>
    </sheetView>
  </sheetViews>
  <sheetFormatPr defaultColWidth="9" defaultRowHeight="14.25" customHeight="1"/>
  <cols>
    <col min="1" max="1" width="3.33203125" style="1" customWidth="1"/>
    <col min="2" max="2" width="5.6640625" style="1" customWidth="1"/>
    <col min="3" max="3" width="52.6640625" style="1" customWidth="1"/>
    <col min="4" max="4" width="21.6640625" style="1" bestFit="1" customWidth="1"/>
    <col min="5" max="5" width="15.6640625" style="1" customWidth="1"/>
    <col min="6" max="6" width="16.6640625" style="1" bestFit="1" customWidth="1"/>
    <col min="7" max="7" width="16.44140625" style="1" bestFit="1" customWidth="1"/>
    <col min="8" max="19" width="18.6640625" style="1" customWidth="1"/>
    <col min="20" max="20" width="26.6640625" style="1" customWidth="1"/>
    <col min="21" max="21" width="9" style="1" customWidth="1"/>
    <col min="22" max="16384" width="9" style="1"/>
  </cols>
  <sheetData>
    <row r="1" spans="1:20" ht="36" customHeight="1">
      <c r="A1" s="2"/>
      <c r="B1" s="120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3"/>
      <c r="S1" s="3"/>
      <c r="T1" s="4"/>
    </row>
    <row r="2" spans="1:20" ht="16.649999999999999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649999999999999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649999999999999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649999999999999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649999999999999" customHeight="1">
      <c r="A6" s="15"/>
      <c r="B6" s="16" t="s">
        <v>4</v>
      </c>
      <c r="C6" s="128" t="s">
        <v>5</v>
      </c>
      <c r="D6" s="129"/>
      <c r="E6" s="129"/>
      <c r="F6" s="16" t="s">
        <v>6</v>
      </c>
      <c r="G6" s="16" t="s">
        <v>7</v>
      </c>
      <c r="H6" s="16" t="s">
        <v>52</v>
      </c>
      <c r="I6" s="16" t="s">
        <v>53</v>
      </c>
      <c r="J6" s="16" t="s">
        <v>54</v>
      </c>
      <c r="K6" s="16" t="s">
        <v>55</v>
      </c>
      <c r="L6" s="80" t="s">
        <v>56</v>
      </c>
      <c r="M6" s="80" t="s">
        <v>57</v>
      </c>
      <c r="N6" s="80" t="s">
        <v>58</v>
      </c>
      <c r="O6" s="16"/>
      <c r="P6" s="16"/>
      <c r="Q6" s="16"/>
      <c r="R6" s="16"/>
      <c r="S6" s="16"/>
      <c r="T6" s="17"/>
    </row>
    <row r="7" spans="1:20" ht="16.649999999999999" customHeight="1">
      <c r="A7" s="15"/>
      <c r="B7" s="18">
        <v>1</v>
      </c>
      <c r="C7" s="122" t="s">
        <v>8</v>
      </c>
      <c r="D7" s="123"/>
      <c r="E7" s="123"/>
      <c r="F7" s="19" t="s">
        <v>9</v>
      </c>
      <c r="G7" s="20">
        <f>SUM(H7:S7)</f>
        <v>475231</v>
      </c>
      <c r="H7" s="79">
        <v>41536</v>
      </c>
      <c r="I7" s="79">
        <v>57272</v>
      </c>
      <c r="J7" s="79">
        <v>50075</v>
      </c>
      <c r="K7" s="79">
        <v>48795</v>
      </c>
      <c r="L7" s="79">
        <v>35953</v>
      </c>
      <c r="M7" s="79">
        <v>31224</v>
      </c>
      <c r="N7" s="79">
        <v>210376</v>
      </c>
      <c r="O7" s="21"/>
      <c r="P7" s="21"/>
      <c r="Q7" s="21"/>
      <c r="R7" s="21"/>
      <c r="S7" s="21"/>
      <c r="T7" s="17"/>
    </row>
    <row r="8" spans="1:20" ht="16.649999999999999" customHeight="1">
      <c r="A8" s="15"/>
      <c r="B8" s="18">
        <v>2</v>
      </c>
      <c r="C8" s="122" t="s">
        <v>10</v>
      </c>
      <c r="D8" s="123"/>
      <c r="E8" s="123"/>
      <c r="F8" s="19" t="s">
        <v>9</v>
      </c>
      <c r="G8" s="22">
        <f>SUM(H8:S8)</f>
        <v>158000</v>
      </c>
      <c r="H8" s="79">
        <v>26000</v>
      </c>
      <c r="I8" s="79">
        <v>31000</v>
      </c>
      <c r="J8" s="79">
        <v>31000</v>
      </c>
      <c r="K8" s="79">
        <v>25000</v>
      </c>
      <c r="L8" s="79">
        <v>21000</v>
      </c>
      <c r="M8" s="79">
        <v>4000</v>
      </c>
      <c r="N8" s="79">
        <v>20000</v>
      </c>
      <c r="O8" s="21"/>
      <c r="P8" s="21"/>
      <c r="Q8" s="21"/>
      <c r="R8" s="21"/>
      <c r="S8" s="21"/>
      <c r="T8" s="17"/>
    </row>
    <row r="9" spans="1:20" ht="16.649999999999999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649999999999999" customHeight="1">
      <c r="A10" s="5"/>
      <c r="B10" s="10" t="s">
        <v>11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649999999999999" customHeight="1">
      <c r="A11" s="15"/>
      <c r="B11" s="16" t="s">
        <v>4</v>
      </c>
      <c r="C11" s="16" t="s">
        <v>12</v>
      </c>
      <c r="D11" s="124" t="s">
        <v>13</v>
      </c>
      <c r="E11" s="125"/>
      <c r="F11" s="16" t="s">
        <v>6</v>
      </c>
      <c r="G11" s="16" t="s">
        <v>7</v>
      </c>
      <c r="H11" s="16" t="s">
        <v>52</v>
      </c>
      <c r="I11" s="16" t="s">
        <v>53</v>
      </c>
      <c r="J11" s="16" t="s">
        <v>54</v>
      </c>
      <c r="K11" s="16" t="s">
        <v>55</v>
      </c>
      <c r="L11" s="80" t="s">
        <v>56</v>
      </c>
      <c r="M11" s="80" t="s">
        <v>57</v>
      </c>
      <c r="N11" s="80" t="s">
        <v>58</v>
      </c>
      <c r="O11" s="16"/>
      <c r="P11" s="16"/>
      <c r="Q11" s="16"/>
      <c r="R11" s="16"/>
      <c r="S11" s="16"/>
      <c r="T11" s="17"/>
    </row>
    <row r="12" spans="1:20" ht="38.700000000000003" customHeight="1">
      <c r="A12" s="15"/>
      <c r="B12" s="18">
        <v>1</v>
      </c>
      <c r="C12" s="25" t="s">
        <v>39</v>
      </c>
      <c r="D12" s="126" t="s">
        <v>14</v>
      </c>
      <c r="E12" s="127"/>
      <c r="F12" s="19" t="s">
        <v>15</v>
      </c>
      <c r="G12" s="20">
        <f>SUM(H12:S12)</f>
        <v>6787953</v>
      </c>
      <c r="H12" s="78">
        <v>818789</v>
      </c>
      <c r="I12" s="78">
        <v>1003195</v>
      </c>
      <c r="J12" s="78">
        <v>1068315</v>
      </c>
      <c r="K12" s="78">
        <v>1024231</v>
      </c>
      <c r="L12" s="78">
        <v>1059814</v>
      </c>
      <c r="M12" s="78">
        <v>1008954</v>
      </c>
      <c r="N12" s="78">
        <v>804655</v>
      </c>
      <c r="O12" s="26"/>
      <c r="P12" s="26"/>
      <c r="Q12" s="26"/>
      <c r="R12" s="26"/>
      <c r="S12" s="26"/>
      <c r="T12" s="27"/>
    </row>
    <row r="13" spans="1:20" ht="16.649999999999999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649999999999999" customHeight="1">
      <c r="A14" s="5"/>
      <c r="B14" s="10" t="s">
        <v>16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649999999999999" customHeight="1">
      <c r="A15" s="15"/>
      <c r="B15" s="16" t="s">
        <v>4</v>
      </c>
      <c r="C15" s="16" t="s">
        <v>12</v>
      </c>
      <c r="D15" s="16" t="s">
        <v>13</v>
      </c>
      <c r="E15" s="16" t="s">
        <v>6</v>
      </c>
      <c r="F15" s="16" t="s">
        <v>7</v>
      </c>
      <c r="G15" s="16" t="s">
        <v>47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15" customHeight="1">
      <c r="A16" s="15"/>
      <c r="B16" s="18">
        <v>2</v>
      </c>
      <c r="C16" s="25" t="s">
        <v>17</v>
      </c>
      <c r="D16" s="19" t="s">
        <v>18</v>
      </c>
      <c r="E16" s="19" t="s">
        <v>19</v>
      </c>
      <c r="F16" s="26">
        <f>+工作表1!AD14</f>
        <v>121624.7913888889</v>
      </c>
      <c r="G16" s="76">
        <f>+工作表1!F20/3600</f>
        <v>6.4297011513746588E-3</v>
      </c>
      <c r="I16" s="28"/>
      <c r="J16" s="7"/>
      <c r="K16" s="7"/>
      <c r="L16" s="29"/>
      <c r="M16" s="7"/>
      <c r="N16" s="7"/>
      <c r="O16" s="7"/>
      <c r="P16" s="7"/>
      <c r="Q16" s="7"/>
      <c r="R16" s="7"/>
      <c r="S16" s="7"/>
      <c r="T16" s="8"/>
    </row>
    <row r="17" spans="1:20" ht="16.649999999999999" customHeight="1">
      <c r="A17" s="15"/>
      <c r="B17" s="18">
        <v>3</v>
      </c>
      <c r="C17" s="25" t="s">
        <v>20</v>
      </c>
      <c r="D17" s="19" t="s">
        <v>18</v>
      </c>
      <c r="E17" s="19" t="s">
        <v>19</v>
      </c>
      <c r="F17" s="26">
        <f>工作表1!AD2</f>
        <v>40320</v>
      </c>
      <c r="G17" s="88">
        <f>+工作表1!P2/3600</f>
        <v>3.6000000000000003E-3</v>
      </c>
      <c r="I17" s="28"/>
      <c r="J17" s="7"/>
      <c r="K17" s="7"/>
      <c r="L17" s="29"/>
      <c r="M17" s="29"/>
      <c r="N17" s="30"/>
      <c r="O17" s="29"/>
      <c r="P17" s="7"/>
      <c r="Q17" s="7"/>
      <c r="R17" s="7"/>
      <c r="S17" s="7"/>
      <c r="T17" s="8"/>
    </row>
    <row r="18" spans="1:20" ht="16.649999999999999" customHeight="1">
      <c r="A18" s="5"/>
      <c r="B18" s="23"/>
      <c r="C18" s="23"/>
      <c r="D18" s="23"/>
      <c r="E18" s="23"/>
      <c r="F18" s="73"/>
      <c r="G18" s="75"/>
      <c r="I18" s="74"/>
      <c r="J18" s="69"/>
      <c r="K18" s="69"/>
      <c r="L18" s="70"/>
      <c r="M18" s="7"/>
      <c r="N18" s="7"/>
      <c r="O18" s="7"/>
      <c r="P18" s="7"/>
      <c r="Q18" s="7"/>
      <c r="R18" s="7"/>
      <c r="S18" s="7"/>
      <c r="T18" s="8"/>
    </row>
    <row r="19" spans="1:20" ht="16.649999999999999" customHeight="1">
      <c r="A19" s="5"/>
      <c r="B19" s="10" t="s">
        <v>21</v>
      </c>
      <c r="C19" s="11"/>
      <c r="D19" s="11"/>
      <c r="E19" s="11"/>
      <c r="F19" s="73"/>
      <c r="G19" s="75"/>
      <c r="I19" s="74"/>
      <c r="J19" s="71"/>
      <c r="K19" s="71"/>
      <c r="L19" s="71"/>
      <c r="M19" s="11"/>
      <c r="N19" s="11"/>
      <c r="O19" s="11"/>
      <c r="P19" s="11"/>
      <c r="Q19" s="11"/>
      <c r="R19" s="11"/>
      <c r="S19" s="11"/>
      <c r="T19" s="8"/>
    </row>
    <row r="20" spans="1:20" ht="16.649999999999999" customHeight="1">
      <c r="A20" s="15"/>
      <c r="B20" s="16" t="s">
        <v>4</v>
      </c>
      <c r="C20" s="16" t="s">
        <v>12</v>
      </c>
      <c r="D20" s="16" t="s">
        <v>13</v>
      </c>
      <c r="E20" s="16" t="s">
        <v>22</v>
      </c>
      <c r="F20" s="16" t="s">
        <v>6</v>
      </c>
      <c r="G20" s="16" t="s">
        <v>7</v>
      </c>
      <c r="H20" s="16" t="s">
        <v>52</v>
      </c>
      <c r="I20" s="16" t="s">
        <v>53</v>
      </c>
      <c r="J20" s="16" t="s">
        <v>54</v>
      </c>
      <c r="K20" s="16" t="s">
        <v>55</v>
      </c>
      <c r="L20" s="106" t="s">
        <v>56</v>
      </c>
      <c r="M20" s="106" t="s">
        <v>57</v>
      </c>
      <c r="N20" s="106" t="s">
        <v>58</v>
      </c>
      <c r="O20" s="16"/>
      <c r="P20" s="16"/>
      <c r="Q20" s="16"/>
      <c r="R20" s="16"/>
      <c r="S20" s="16"/>
      <c r="T20" s="17"/>
    </row>
    <row r="21" spans="1:20" ht="16.649999999999999" customHeight="1">
      <c r="A21" s="15"/>
      <c r="B21" s="18">
        <v>3</v>
      </c>
      <c r="C21" s="25" t="s">
        <v>20</v>
      </c>
      <c r="D21" s="19" t="s">
        <v>23</v>
      </c>
      <c r="E21" s="31" t="s">
        <v>48</v>
      </c>
      <c r="F21" s="119"/>
      <c r="G21" s="32">
        <f>SUM(H21:S21)</f>
        <v>1818.6000000000001</v>
      </c>
      <c r="H21" s="77">
        <f>H8*1.35/100</f>
        <v>351</v>
      </c>
      <c r="I21" s="77">
        <f>I8*1.19/100</f>
        <v>368.9</v>
      </c>
      <c r="J21" s="77">
        <f>J8*0.9/100</f>
        <v>279</v>
      </c>
      <c r="K21" s="77">
        <f>K8*1.1/100</f>
        <v>275.00000000000006</v>
      </c>
      <c r="L21" s="77">
        <f>L8*1.23/100</f>
        <v>258.3</v>
      </c>
      <c r="M21" s="77">
        <f>M8*1.21/100</f>
        <v>48.4</v>
      </c>
      <c r="N21" s="77">
        <f>N8*1.19/100</f>
        <v>238</v>
      </c>
      <c r="O21" s="77"/>
      <c r="P21" s="77"/>
      <c r="Q21" s="77"/>
      <c r="R21" s="77"/>
      <c r="S21" s="77"/>
      <c r="T21" s="17"/>
    </row>
    <row r="22" spans="1:20" ht="16.649999999999999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649999999999999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3"/>
      <c r="B24" s="34"/>
      <c r="C24" s="35"/>
      <c r="D24" s="34"/>
      <c r="E24" s="34"/>
      <c r="F24" s="34"/>
      <c r="G24" s="34"/>
      <c r="H24" s="81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</row>
    <row r="25" spans="1:20" ht="14.2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  <row r="27" spans="1:20" ht="14.25" customHeight="1">
      <c r="G27" s="105"/>
    </row>
    <row r="28" spans="1:20" ht="14.25" customHeight="1">
      <c r="J28" s="87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zoomScaleNormal="100" workbookViewId="0">
      <selection activeCell="H25" sqref="H25"/>
    </sheetView>
  </sheetViews>
  <sheetFormatPr defaultRowHeight="13.2"/>
  <cols>
    <col min="1" max="1" width="11.6640625" customWidth="1"/>
    <col min="2" max="2" width="16.6640625" customWidth="1"/>
    <col min="3" max="3" width="10.109375" bestFit="1" customWidth="1"/>
    <col min="4" max="5" width="9.44140625" bestFit="1" customWidth="1"/>
    <col min="6" max="6" width="9.5546875" bestFit="1" customWidth="1"/>
    <col min="15" max="15" width="9.77734375" customWidth="1"/>
    <col min="16" max="16" width="12.77734375" bestFit="1" customWidth="1"/>
  </cols>
  <sheetData>
    <row r="1" spans="1:30" s="94" customFormat="1" ht="25.5" customHeight="1">
      <c r="A1" s="90" t="s">
        <v>59</v>
      </c>
      <c r="B1" s="91" t="s">
        <v>60</v>
      </c>
      <c r="C1" s="92" t="s">
        <v>61</v>
      </c>
      <c r="D1" s="92" t="s">
        <v>62</v>
      </c>
      <c r="E1" s="92" t="s">
        <v>63</v>
      </c>
      <c r="F1" s="92" t="s">
        <v>64</v>
      </c>
      <c r="G1" s="92" t="s">
        <v>65</v>
      </c>
      <c r="H1" s="92" t="s">
        <v>66</v>
      </c>
      <c r="I1" s="92" t="s">
        <v>67</v>
      </c>
      <c r="J1" s="92" t="s">
        <v>68</v>
      </c>
      <c r="K1" s="92" t="s">
        <v>69</v>
      </c>
      <c r="L1" s="92" t="s">
        <v>70</v>
      </c>
      <c r="M1" s="92" t="s">
        <v>71</v>
      </c>
      <c r="N1" s="92" t="s">
        <v>72</v>
      </c>
      <c r="O1" s="92" t="s">
        <v>75</v>
      </c>
      <c r="P1" s="93" t="s">
        <v>73</v>
      </c>
      <c r="Q1" s="93" t="s">
        <v>74</v>
      </c>
      <c r="R1" s="92" t="s">
        <v>61</v>
      </c>
      <c r="S1" s="92" t="s">
        <v>62</v>
      </c>
      <c r="T1" s="92" t="s">
        <v>63</v>
      </c>
      <c r="U1" s="92" t="s">
        <v>64</v>
      </c>
      <c r="V1" s="92" t="s">
        <v>65</v>
      </c>
      <c r="W1" s="92" t="s">
        <v>66</v>
      </c>
      <c r="X1" s="92" t="s">
        <v>67</v>
      </c>
      <c r="Y1" s="92" t="s">
        <v>68</v>
      </c>
      <c r="Z1" s="92" t="s">
        <v>69</v>
      </c>
      <c r="AA1" s="92" t="s">
        <v>70</v>
      </c>
      <c r="AB1" s="92" t="s">
        <v>71</v>
      </c>
      <c r="AC1" s="92" t="s">
        <v>72</v>
      </c>
      <c r="AD1" s="92" t="s">
        <v>80</v>
      </c>
    </row>
    <row r="2" spans="1:30" s="98" customFormat="1" ht="15.9" customHeight="1">
      <c r="A2" s="132" t="s">
        <v>76</v>
      </c>
      <c r="B2" s="102" t="s">
        <v>77</v>
      </c>
      <c r="C2" s="95"/>
      <c r="D2" s="95">
        <v>66000</v>
      </c>
      <c r="E2" s="95">
        <v>44000</v>
      </c>
      <c r="F2" s="95">
        <v>13000</v>
      </c>
      <c r="G2" s="95">
        <v>39000</v>
      </c>
      <c r="H2" s="95">
        <v>26000</v>
      </c>
      <c r="I2" s="95">
        <v>31000</v>
      </c>
      <c r="J2" s="95">
        <v>31000</v>
      </c>
      <c r="K2" s="95">
        <v>25000</v>
      </c>
      <c r="L2" s="95">
        <v>21000</v>
      </c>
      <c r="M2" s="95">
        <v>4000</v>
      </c>
      <c r="N2" s="95">
        <v>20000</v>
      </c>
      <c r="O2" s="96">
        <f>+SUM(C2:N2)</f>
        <v>320000</v>
      </c>
      <c r="P2" s="97">
        <v>12.96</v>
      </c>
      <c r="Q2" s="97">
        <v>35</v>
      </c>
      <c r="R2" s="104">
        <f t="shared" ref="R2:AC2" si="0">+$P2*$Q2/3600*C2</f>
        <v>0</v>
      </c>
      <c r="S2" s="104">
        <f>+$P2*$Q2/3600*D2</f>
        <v>8316</v>
      </c>
      <c r="T2" s="104">
        <f t="shared" si="0"/>
        <v>5544</v>
      </c>
      <c r="U2" s="104">
        <f t="shared" si="0"/>
        <v>1638</v>
      </c>
      <c r="V2" s="104">
        <f t="shared" si="0"/>
        <v>4914</v>
      </c>
      <c r="W2" s="104">
        <f t="shared" si="0"/>
        <v>3276</v>
      </c>
      <c r="X2" s="104">
        <f t="shared" si="0"/>
        <v>3906</v>
      </c>
      <c r="Y2" s="104">
        <f t="shared" si="0"/>
        <v>3906</v>
      </c>
      <c r="Z2" s="104">
        <f t="shared" si="0"/>
        <v>3150</v>
      </c>
      <c r="AA2" s="104">
        <f t="shared" si="0"/>
        <v>2646</v>
      </c>
      <c r="AB2" s="104">
        <f t="shared" si="0"/>
        <v>504</v>
      </c>
      <c r="AC2" s="104">
        <f t="shared" si="0"/>
        <v>2520</v>
      </c>
      <c r="AD2" s="96">
        <f>+SUM(R2:AC2)</f>
        <v>40320</v>
      </c>
    </row>
    <row r="3" spans="1:30" s="98" customFormat="1" ht="15.9" customHeight="1">
      <c r="A3" s="133"/>
      <c r="B3" s="102" t="s">
        <v>78</v>
      </c>
      <c r="C3" s="95"/>
      <c r="D3" s="95"/>
      <c r="E3" s="95"/>
      <c r="F3" s="95"/>
      <c r="G3" s="95"/>
      <c r="H3" s="95">
        <v>96</v>
      </c>
      <c r="I3" s="95">
        <v>22316</v>
      </c>
      <c r="J3" s="95">
        <v>17075</v>
      </c>
      <c r="K3" s="95">
        <v>16160</v>
      </c>
      <c r="L3" s="95"/>
      <c r="M3" s="95"/>
      <c r="N3" s="95"/>
      <c r="O3" s="96">
        <f t="shared" ref="O3:O14" si="1">+SUM(C3:N3)</f>
        <v>55647</v>
      </c>
      <c r="P3" s="97">
        <v>27</v>
      </c>
      <c r="Q3" s="97">
        <v>25</v>
      </c>
      <c r="R3" s="104">
        <f t="shared" ref="R3:R4" si="2">+$P3*$Q3/3600*C3</f>
        <v>0</v>
      </c>
      <c r="S3" s="104">
        <f t="shared" ref="S3:AC4" si="3">+$P3*$Q3/3600*D3</f>
        <v>0</v>
      </c>
      <c r="T3" s="104">
        <f t="shared" si="3"/>
        <v>0</v>
      </c>
      <c r="U3" s="104">
        <f t="shared" si="3"/>
        <v>0</v>
      </c>
      <c r="V3" s="104">
        <f t="shared" si="3"/>
        <v>0</v>
      </c>
      <c r="W3" s="104">
        <f t="shared" si="3"/>
        <v>18</v>
      </c>
      <c r="X3" s="104">
        <f t="shared" si="3"/>
        <v>4184.25</v>
      </c>
      <c r="Y3" s="104">
        <f t="shared" si="3"/>
        <v>3201.5625</v>
      </c>
      <c r="Z3" s="104">
        <f t="shared" si="3"/>
        <v>3030</v>
      </c>
      <c r="AA3" s="104">
        <f t="shared" si="3"/>
        <v>0</v>
      </c>
      <c r="AB3" s="104">
        <f t="shared" si="3"/>
        <v>0</v>
      </c>
      <c r="AC3" s="104">
        <f t="shared" si="3"/>
        <v>0</v>
      </c>
      <c r="AD3" s="96">
        <f t="shared" ref="AD3:AD4" si="4">+SUM(R3:AC3)</f>
        <v>10433.8125</v>
      </c>
    </row>
    <row r="4" spans="1:30" s="98" customFormat="1" ht="15.9" customHeight="1">
      <c r="A4" s="133"/>
      <c r="B4" s="102" t="s">
        <v>79</v>
      </c>
      <c r="C4" s="95"/>
      <c r="D4" s="95"/>
      <c r="E4" s="95">
        <v>164</v>
      </c>
      <c r="F4" s="95">
        <v>4444</v>
      </c>
      <c r="G4" s="95">
        <v>2392</v>
      </c>
      <c r="H4" s="95">
        <v>4000</v>
      </c>
      <c r="I4" s="95"/>
      <c r="J4" s="95">
        <v>2000</v>
      </c>
      <c r="K4" s="95">
        <v>6075</v>
      </c>
      <c r="L4" s="95">
        <v>1957</v>
      </c>
      <c r="M4" s="95"/>
      <c r="N4" s="95">
        <v>986</v>
      </c>
      <c r="O4" s="96">
        <f t="shared" si="1"/>
        <v>22018</v>
      </c>
      <c r="P4" s="97">
        <v>120</v>
      </c>
      <c r="Q4" s="97">
        <v>34</v>
      </c>
      <c r="R4" s="104">
        <f t="shared" si="2"/>
        <v>0</v>
      </c>
      <c r="S4" s="104">
        <f t="shared" si="3"/>
        <v>0</v>
      </c>
      <c r="T4" s="104">
        <f t="shared" si="3"/>
        <v>185.86666666666667</v>
      </c>
      <c r="U4" s="104">
        <f t="shared" si="3"/>
        <v>5036.5333333333328</v>
      </c>
      <c r="V4" s="104">
        <f t="shared" si="3"/>
        <v>2710.9333333333334</v>
      </c>
      <c r="W4" s="104">
        <f t="shared" si="3"/>
        <v>4533.333333333333</v>
      </c>
      <c r="X4" s="104">
        <f t="shared" si="3"/>
        <v>0</v>
      </c>
      <c r="Y4" s="104">
        <f t="shared" si="3"/>
        <v>2266.6666666666665</v>
      </c>
      <c r="Z4" s="104">
        <f t="shared" si="3"/>
        <v>6885</v>
      </c>
      <c r="AA4" s="104">
        <f t="shared" si="3"/>
        <v>2217.9333333333334</v>
      </c>
      <c r="AB4" s="104">
        <f t="shared" si="3"/>
        <v>0</v>
      </c>
      <c r="AC4" s="104">
        <f t="shared" si="3"/>
        <v>1117.4666666666667</v>
      </c>
      <c r="AD4" s="96">
        <f t="shared" si="4"/>
        <v>24953.733333333334</v>
      </c>
    </row>
    <row r="5" spans="1:30" s="98" customFormat="1" ht="15.9" customHeight="1">
      <c r="A5" s="133"/>
      <c r="B5" s="102" t="s">
        <v>83</v>
      </c>
      <c r="C5" s="95"/>
      <c r="D5" s="95"/>
      <c r="E5" s="95"/>
      <c r="F5" s="95"/>
      <c r="G5" s="95">
        <v>255</v>
      </c>
      <c r="H5" s="95"/>
      <c r="I5" s="95"/>
      <c r="J5" s="95"/>
      <c r="K5" s="95"/>
      <c r="L5" s="95"/>
      <c r="M5" s="95"/>
      <c r="N5" s="95"/>
      <c r="O5" s="96">
        <f t="shared" si="1"/>
        <v>255</v>
      </c>
      <c r="P5" s="97">
        <v>52</v>
      </c>
      <c r="Q5" s="97">
        <v>20</v>
      </c>
      <c r="R5" s="104">
        <f t="shared" ref="R5:R13" si="5">+$P5*$Q5/3600*C5</f>
        <v>0</v>
      </c>
      <c r="S5" s="104">
        <f t="shared" ref="S5:S13" si="6">+$P5*$Q5/3600*D5</f>
        <v>0</v>
      </c>
      <c r="T5" s="104">
        <f t="shared" ref="T5:T13" si="7">+$P5*$Q5/3600*E5</f>
        <v>0</v>
      </c>
      <c r="U5" s="104">
        <f t="shared" ref="U5:U13" si="8">+$P5*$Q5/3600*F5</f>
        <v>0</v>
      </c>
      <c r="V5" s="104">
        <f t="shared" ref="V5:V13" si="9">+$P5*$Q5/3600*G5</f>
        <v>73.666666666666657</v>
      </c>
      <c r="W5" s="104">
        <f t="shared" ref="W5:W13" si="10">+$P5*$Q5/3600*H5</f>
        <v>0</v>
      </c>
      <c r="X5" s="104">
        <f t="shared" ref="X5:X13" si="11">+$P5*$Q5/3600*I5</f>
        <v>0</v>
      </c>
      <c r="Y5" s="104">
        <f t="shared" ref="Y5:Y13" si="12">+$P5*$Q5/3600*J5</f>
        <v>0</v>
      </c>
      <c r="Z5" s="104">
        <f t="shared" ref="Z5:Z13" si="13">+$P5*$Q5/3600*K5</f>
        <v>0</v>
      </c>
      <c r="AA5" s="104">
        <f t="shared" ref="AA5:AA13" si="14">+$P5*$Q5/3600*L5</f>
        <v>0</v>
      </c>
      <c r="AB5" s="104">
        <f t="shared" ref="AB5:AB13" si="15">+$P5*$Q5/3600*M5</f>
        <v>0</v>
      </c>
      <c r="AC5" s="104">
        <f t="shared" ref="AC5:AC13" si="16">+$P5*$Q5/3600*N5</f>
        <v>0</v>
      </c>
      <c r="AD5" s="96">
        <f t="shared" ref="AD5:AD13" si="17">+SUM(R5:AC5)</f>
        <v>73.666666666666657</v>
      </c>
    </row>
    <row r="6" spans="1:30" s="98" customFormat="1" ht="15.9" customHeight="1">
      <c r="A6" s="133"/>
      <c r="B6" s="102" t="s">
        <v>84</v>
      </c>
      <c r="C6" s="95"/>
      <c r="D6" s="95"/>
      <c r="E6" s="95"/>
      <c r="F6" s="95">
        <v>2000</v>
      </c>
      <c r="G6" s="95"/>
      <c r="H6" s="95"/>
      <c r="I6" s="95"/>
      <c r="J6" s="95"/>
      <c r="K6" s="95"/>
      <c r="L6" s="95">
        <v>1000</v>
      </c>
      <c r="M6" s="95"/>
      <c r="N6" s="95"/>
      <c r="O6" s="96">
        <f t="shared" si="1"/>
        <v>3000</v>
      </c>
      <c r="P6" s="97">
        <v>52</v>
      </c>
      <c r="Q6" s="97">
        <v>20</v>
      </c>
      <c r="R6" s="104">
        <f t="shared" si="5"/>
        <v>0</v>
      </c>
      <c r="S6" s="104">
        <f t="shared" si="6"/>
        <v>0</v>
      </c>
      <c r="T6" s="104">
        <f t="shared" si="7"/>
        <v>0</v>
      </c>
      <c r="U6" s="104">
        <f t="shared" si="8"/>
        <v>577.77777777777771</v>
      </c>
      <c r="V6" s="104">
        <f t="shared" si="9"/>
        <v>0</v>
      </c>
      <c r="W6" s="104">
        <f t="shared" si="10"/>
        <v>0</v>
      </c>
      <c r="X6" s="104">
        <f t="shared" si="11"/>
        <v>0</v>
      </c>
      <c r="Y6" s="104">
        <f t="shared" si="12"/>
        <v>0</v>
      </c>
      <c r="Z6" s="104">
        <f t="shared" si="13"/>
        <v>0</v>
      </c>
      <c r="AA6" s="104">
        <f t="shared" si="14"/>
        <v>288.88888888888886</v>
      </c>
      <c r="AB6" s="104">
        <f t="shared" si="15"/>
        <v>0</v>
      </c>
      <c r="AC6" s="104">
        <f t="shared" si="16"/>
        <v>0</v>
      </c>
      <c r="AD6" s="96">
        <f t="shared" si="17"/>
        <v>866.66666666666652</v>
      </c>
    </row>
    <row r="7" spans="1:30" s="98" customFormat="1" ht="15.9" customHeight="1">
      <c r="A7" s="133"/>
      <c r="B7" s="102" t="s">
        <v>85</v>
      </c>
      <c r="C7" s="95"/>
      <c r="D7" s="95"/>
      <c r="E7" s="95"/>
      <c r="F7" s="95"/>
      <c r="G7" s="95"/>
      <c r="H7" s="95"/>
      <c r="I7" s="95"/>
      <c r="J7" s="95"/>
      <c r="K7" s="95">
        <v>1020</v>
      </c>
      <c r="L7" s="95"/>
      <c r="M7" s="95"/>
      <c r="N7" s="95"/>
      <c r="O7" s="96">
        <f>+SUM(C7:N7)</f>
        <v>1020</v>
      </c>
      <c r="P7" s="97">
        <v>52</v>
      </c>
      <c r="Q7" s="97">
        <v>20</v>
      </c>
      <c r="R7" s="104">
        <f t="shared" si="5"/>
        <v>0</v>
      </c>
      <c r="S7" s="104">
        <f t="shared" si="6"/>
        <v>0</v>
      </c>
      <c r="T7" s="104">
        <f t="shared" si="7"/>
        <v>0</v>
      </c>
      <c r="U7" s="104">
        <f t="shared" si="8"/>
        <v>0</v>
      </c>
      <c r="V7" s="104">
        <f t="shared" si="9"/>
        <v>0</v>
      </c>
      <c r="W7" s="104">
        <f t="shared" si="10"/>
        <v>0</v>
      </c>
      <c r="X7" s="104">
        <f t="shared" si="11"/>
        <v>0</v>
      </c>
      <c r="Y7" s="104">
        <f t="shared" si="12"/>
        <v>0</v>
      </c>
      <c r="Z7" s="104">
        <f t="shared" si="13"/>
        <v>294.66666666666663</v>
      </c>
      <c r="AA7" s="104">
        <f t="shared" si="14"/>
        <v>0</v>
      </c>
      <c r="AB7" s="104">
        <f t="shared" si="15"/>
        <v>0</v>
      </c>
      <c r="AC7" s="104">
        <f t="shared" si="16"/>
        <v>0</v>
      </c>
      <c r="AD7" s="96">
        <f t="shared" si="17"/>
        <v>294.66666666666663</v>
      </c>
    </row>
    <row r="8" spans="1:30" s="98" customFormat="1" ht="15.9" customHeight="1">
      <c r="A8" s="133"/>
      <c r="B8" s="102" t="s">
        <v>86</v>
      </c>
      <c r="C8" s="95"/>
      <c r="D8" s="95"/>
      <c r="E8" s="95"/>
      <c r="F8" s="95">
        <v>150</v>
      </c>
      <c r="G8" s="95"/>
      <c r="H8" s="95">
        <v>870</v>
      </c>
      <c r="I8" s="95"/>
      <c r="J8" s="95"/>
      <c r="K8" s="95"/>
      <c r="L8" s="95"/>
      <c r="M8" s="95"/>
      <c r="N8" s="95"/>
      <c r="O8" s="96">
        <f>+SUM(C8:N8)</f>
        <v>1020</v>
      </c>
      <c r="P8" s="97">
        <v>52</v>
      </c>
      <c r="Q8" s="97">
        <v>20</v>
      </c>
      <c r="R8" s="104">
        <f t="shared" si="5"/>
        <v>0</v>
      </c>
      <c r="S8" s="104">
        <f t="shared" si="6"/>
        <v>0</v>
      </c>
      <c r="T8" s="104">
        <f t="shared" si="7"/>
        <v>0</v>
      </c>
      <c r="U8" s="104">
        <f t="shared" si="8"/>
        <v>43.333333333333329</v>
      </c>
      <c r="V8" s="104">
        <f t="shared" si="9"/>
        <v>0</v>
      </c>
      <c r="W8" s="104">
        <f t="shared" si="10"/>
        <v>251.33333333333331</v>
      </c>
      <c r="X8" s="104">
        <f t="shared" si="11"/>
        <v>0</v>
      </c>
      <c r="Y8" s="104">
        <f t="shared" si="12"/>
        <v>0</v>
      </c>
      <c r="Z8" s="104">
        <f t="shared" si="13"/>
        <v>0</v>
      </c>
      <c r="AA8" s="104">
        <f t="shared" si="14"/>
        <v>0</v>
      </c>
      <c r="AB8" s="104">
        <f t="shared" si="15"/>
        <v>0</v>
      </c>
      <c r="AC8" s="104">
        <f t="shared" si="16"/>
        <v>0</v>
      </c>
      <c r="AD8" s="96">
        <f t="shared" si="17"/>
        <v>294.66666666666663</v>
      </c>
    </row>
    <row r="9" spans="1:30" s="98" customFormat="1" ht="15.9" customHeight="1">
      <c r="A9" s="133"/>
      <c r="B9" s="102" t="s">
        <v>87</v>
      </c>
      <c r="C9" s="95"/>
      <c r="D9" s="95"/>
      <c r="E9" s="95"/>
      <c r="F9" s="95"/>
      <c r="G9" s="95">
        <v>701</v>
      </c>
      <c r="H9" s="95">
        <v>10563</v>
      </c>
      <c r="I9" s="95">
        <v>3950</v>
      </c>
      <c r="J9" s="95"/>
      <c r="K9" s="95"/>
      <c r="L9" s="95">
        <v>9912</v>
      </c>
      <c r="M9" s="95"/>
      <c r="N9" s="95"/>
      <c r="O9" s="96">
        <f t="shared" si="1"/>
        <v>25126</v>
      </c>
      <c r="P9" s="97">
        <v>6</v>
      </c>
      <c r="Q9" s="97">
        <v>24</v>
      </c>
      <c r="R9" s="104">
        <f t="shared" si="5"/>
        <v>0</v>
      </c>
      <c r="S9" s="104">
        <f t="shared" si="6"/>
        <v>0</v>
      </c>
      <c r="T9" s="104">
        <f t="shared" si="7"/>
        <v>0</v>
      </c>
      <c r="U9" s="104">
        <f t="shared" si="8"/>
        <v>0</v>
      </c>
      <c r="V9" s="104">
        <f t="shared" si="9"/>
        <v>28.04</v>
      </c>
      <c r="W9" s="104">
        <f t="shared" si="10"/>
        <v>422.52</v>
      </c>
      <c r="X9" s="104">
        <f t="shared" si="11"/>
        <v>158</v>
      </c>
      <c r="Y9" s="104">
        <f t="shared" si="12"/>
        <v>0</v>
      </c>
      <c r="Z9" s="104">
        <f t="shared" si="13"/>
        <v>0</v>
      </c>
      <c r="AA9" s="104">
        <f t="shared" si="14"/>
        <v>396.48</v>
      </c>
      <c r="AB9" s="104">
        <f t="shared" si="15"/>
        <v>0</v>
      </c>
      <c r="AC9" s="104">
        <f t="shared" si="16"/>
        <v>0</v>
      </c>
      <c r="AD9" s="96">
        <f t="shared" si="17"/>
        <v>1005.04</v>
      </c>
    </row>
    <row r="10" spans="1:30" s="98" customFormat="1" ht="15.9" customHeight="1">
      <c r="A10" s="133"/>
      <c r="B10" s="102" t="s">
        <v>88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>
        <v>165760</v>
      </c>
      <c r="O10" s="96">
        <f t="shared" si="1"/>
        <v>165760</v>
      </c>
      <c r="P10" s="97">
        <v>6</v>
      </c>
      <c r="Q10" s="97">
        <v>24</v>
      </c>
      <c r="R10" s="104">
        <f t="shared" si="5"/>
        <v>0</v>
      </c>
      <c r="S10" s="104">
        <f t="shared" si="6"/>
        <v>0</v>
      </c>
      <c r="T10" s="104">
        <f t="shared" si="7"/>
        <v>0</v>
      </c>
      <c r="U10" s="104">
        <f t="shared" si="8"/>
        <v>0</v>
      </c>
      <c r="V10" s="104">
        <f t="shared" si="9"/>
        <v>0</v>
      </c>
      <c r="W10" s="104">
        <f t="shared" si="10"/>
        <v>0</v>
      </c>
      <c r="X10" s="104">
        <f t="shared" si="11"/>
        <v>0</v>
      </c>
      <c r="Y10" s="104">
        <f t="shared" si="12"/>
        <v>0</v>
      </c>
      <c r="Z10" s="104">
        <f t="shared" si="13"/>
        <v>0</v>
      </c>
      <c r="AA10" s="104">
        <f t="shared" si="14"/>
        <v>0</v>
      </c>
      <c r="AB10" s="104">
        <f t="shared" si="15"/>
        <v>0</v>
      </c>
      <c r="AC10" s="104">
        <f t="shared" si="16"/>
        <v>6630.4000000000005</v>
      </c>
      <c r="AD10" s="96">
        <f t="shared" si="17"/>
        <v>6630.4000000000005</v>
      </c>
    </row>
    <row r="11" spans="1:30" s="98" customFormat="1" ht="15.9" customHeight="1">
      <c r="A11" s="133"/>
      <c r="B11" s="102" t="s">
        <v>89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>
        <v>24720</v>
      </c>
      <c r="N11" s="95">
        <v>21835</v>
      </c>
      <c r="O11" s="96">
        <f t="shared" si="1"/>
        <v>46555</v>
      </c>
      <c r="P11" s="97">
        <v>6</v>
      </c>
      <c r="Q11" s="97">
        <v>24</v>
      </c>
      <c r="R11" s="104">
        <f t="shared" si="5"/>
        <v>0</v>
      </c>
      <c r="S11" s="104">
        <f t="shared" si="6"/>
        <v>0</v>
      </c>
      <c r="T11" s="104">
        <f t="shared" si="7"/>
        <v>0</v>
      </c>
      <c r="U11" s="104">
        <f t="shared" si="8"/>
        <v>0</v>
      </c>
      <c r="V11" s="104">
        <f t="shared" si="9"/>
        <v>0</v>
      </c>
      <c r="W11" s="104">
        <f t="shared" si="10"/>
        <v>0</v>
      </c>
      <c r="X11" s="104">
        <f t="shared" si="11"/>
        <v>0</v>
      </c>
      <c r="Y11" s="104">
        <f t="shared" si="12"/>
        <v>0</v>
      </c>
      <c r="Z11" s="104">
        <f t="shared" si="13"/>
        <v>0</v>
      </c>
      <c r="AA11" s="104">
        <f t="shared" si="14"/>
        <v>0</v>
      </c>
      <c r="AB11" s="104">
        <f t="shared" si="15"/>
        <v>988.80000000000007</v>
      </c>
      <c r="AC11" s="104">
        <f t="shared" si="16"/>
        <v>873.4</v>
      </c>
      <c r="AD11" s="96">
        <f t="shared" si="17"/>
        <v>1862.2</v>
      </c>
    </row>
    <row r="12" spans="1:30" s="98" customFormat="1" ht="15.9" customHeight="1">
      <c r="A12" s="133"/>
      <c r="B12" s="102" t="s">
        <v>90</v>
      </c>
      <c r="C12" s="95">
        <v>532</v>
      </c>
      <c r="D12" s="95">
        <v>1576</v>
      </c>
      <c r="E12" s="95">
        <v>2140</v>
      </c>
      <c r="F12" s="95">
        <v>834</v>
      </c>
      <c r="G12" s="95">
        <v>59</v>
      </c>
      <c r="H12" s="95"/>
      <c r="I12" s="95"/>
      <c r="J12" s="95"/>
      <c r="K12" s="95"/>
      <c r="L12" s="95"/>
      <c r="M12" s="95"/>
      <c r="N12" s="95"/>
      <c r="O12" s="96">
        <f t="shared" si="1"/>
        <v>5141</v>
      </c>
      <c r="P12" s="97">
        <v>260</v>
      </c>
      <c r="Q12" s="97">
        <v>29</v>
      </c>
      <c r="R12" s="104">
        <f t="shared" si="5"/>
        <v>1114.2444444444445</v>
      </c>
      <c r="S12" s="104">
        <f t="shared" si="6"/>
        <v>3300.8444444444444</v>
      </c>
      <c r="T12" s="104">
        <f t="shared" si="7"/>
        <v>4482.1111111111113</v>
      </c>
      <c r="U12" s="104">
        <f t="shared" si="8"/>
        <v>1746.7666666666667</v>
      </c>
      <c r="V12" s="104">
        <f t="shared" si="9"/>
        <v>123.57222222222222</v>
      </c>
      <c r="W12" s="104">
        <f t="shared" si="10"/>
        <v>0</v>
      </c>
      <c r="X12" s="104">
        <f t="shared" si="11"/>
        <v>0</v>
      </c>
      <c r="Y12" s="104">
        <f t="shared" si="12"/>
        <v>0</v>
      </c>
      <c r="Z12" s="104">
        <f t="shared" si="13"/>
        <v>0</v>
      </c>
      <c r="AA12" s="104">
        <f t="shared" si="14"/>
        <v>0</v>
      </c>
      <c r="AB12" s="104">
        <f t="shared" si="15"/>
        <v>0</v>
      </c>
      <c r="AC12" s="104">
        <f t="shared" si="16"/>
        <v>0</v>
      </c>
      <c r="AD12" s="96">
        <f t="shared" si="17"/>
        <v>10767.53888888889</v>
      </c>
    </row>
    <row r="13" spans="1:30" s="98" customFormat="1" ht="15.9" customHeight="1">
      <c r="A13" s="134"/>
      <c r="B13" s="102" t="s">
        <v>91</v>
      </c>
      <c r="C13" s="95">
        <v>30</v>
      </c>
      <c r="D13" s="95"/>
      <c r="E13" s="95"/>
      <c r="F13" s="95"/>
      <c r="G13" s="95">
        <v>26</v>
      </c>
      <c r="H13" s="95">
        <v>7</v>
      </c>
      <c r="I13" s="95">
        <v>6</v>
      </c>
      <c r="J13" s="95"/>
      <c r="K13" s="95">
        <v>540</v>
      </c>
      <c r="L13" s="95">
        <v>2084</v>
      </c>
      <c r="M13" s="95">
        <v>2504</v>
      </c>
      <c r="N13" s="95">
        <v>1795</v>
      </c>
      <c r="O13" s="96">
        <f t="shared" si="1"/>
        <v>6992</v>
      </c>
      <c r="P13" s="97">
        <v>540</v>
      </c>
      <c r="Q13" s="97">
        <v>23</v>
      </c>
      <c r="R13" s="104">
        <f t="shared" si="5"/>
        <v>103.5</v>
      </c>
      <c r="S13" s="104">
        <f t="shared" si="6"/>
        <v>0</v>
      </c>
      <c r="T13" s="104">
        <f t="shared" si="7"/>
        <v>0</v>
      </c>
      <c r="U13" s="104">
        <f t="shared" si="8"/>
        <v>0</v>
      </c>
      <c r="V13" s="104">
        <f t="shared" si="9"/>
        <v>89.7</v>
      </c>
      <c r="W13" s="104">
        <f t="shared" si="10"/>
        <v>24.150000000000002</v>
      </c>
      <c r="X13" s="104">
        <f t="shared" si="11"/>
        <v>20.700000000000003</v>
      </c>
      <c r="Y13" s="104">
        <f t="shared" si="12"/>
        <v>0</v>
      </c>
      <c r="Z13" s="104">
        <f t="shared" si="13"/>
        <v>1863</v>
      </c>
      <c r="AA13" s="104">
        <f t="shared" si="14"/>
        <v>7189.8</v>
      </c>
      <c r="AB13" s="104">
        <f t="shared" si="15"/>
        <v>8638.8000000000011</v>
      </c>
      <c r="AC13" s="104">
        <f t="shared" si="16"/>
        <v>6192.75</v>
      </c>
      <c r="AD13" s="96">
        <f t="shared" si="17"/>
        <v>24122.400000000001</v>
      </c>
    </row>
    <row r="14" spans="1:30" s="101" customFormat="1" ht="21" customHeight="1">
      <c r="A14" s="130" t="s">
        <v>80</v>
      </c>
      <c r="B14" s="130"/>
      <c r="C14" s="99">
        <f>SUM(C2:C13)</f>
        <v>562</v>
      </c>
      <c r="D14" s="99">
        <f t="shared" ref="D14:M14" si="18">SUM(D2:D13)</f>
        <v>67576</v>
      </c>
      <c r="E14" s="99">
        <f t="shared" si="18"/>
        <v>46304</v>
      </c>
      <c r="F14" s="99">
        <f t="shared" si="18"/>
        <v>20428</v>
      </c>
      <c r="G14" s="99">
        <f t="shared" si="18"/>
        <v>42433</v>
      </c>
      <c r="H14" s="99">
        <f t="shared" si="18"/>
        <v>41536</v>
      </c>
      <c r="I14" s="99">
        <f t="shared" si="18"/>
        <v>57272</v>
      </c>
      <c r="J14" s="99">
        <f t="shared" si="18"/>
        <v>50075</v>
      </c>
      <c r="K14" s="99">
        <f t="shared" si="18"/>
        <v>48795</v>
      </c>
      <c r="L14" s="99">
        <f t="shared" si="18"/>
        <v>35953</v>
      </c>
      <c r="M14" s="99">
        <f t="shared" si="18"/>
        <v>31224</v>
      </c>
      <c r="N14" s="99">
        <f>SUM(N2:N13)</f>
        <v>210376</v>
      </c>
      <c r="O14" s="103">
        <f t="shared" si="1"/>
        <v>652534</v>
      </c>
      <c r="P14" s="100"/>
      <c r="Q14" s="100"/>
      <c r="R14" s="103">
        <f>+SUM(R2:R13)</f>
        <v>1217.7444444444445</v>
      </c>
      <c r="S14" s="103">
        <f>+SUM(S2:S13)</f>
        <v>11616.844444444445</v>
      </c>
      <c r="T14" s="103">
        <f>+SUM(T2:T13)</f>
        <v>10211.977777777778</v>
      </c>
      <c r="U14" s="103">
        <f t="shared" ref="U14:AC14" si="19">+SUM(U2:U13)</f>
        <v>9042.4111111111106</v>
      </c>
      <c r="V14" s="103">
        <f t="shared" si="19"/>
        <v>7939.9122222222222</v>
      </c>
      <c r="W14" s="103">
        <f t="shared" si="19"/>
        <v>8525.3366666666661</v>
      </c>
      <c r="X14" s="103">
        <f t="shared" si="19"/>
        <v>8268.9500000000007</v>
      </c>
      <c r="Y14" s="103">
        <f t="shared" si="19"/>
        <v>9374.2291666666661</v>
      </c>
      <c r="Z14" s="103">
        <f t="shared" si="19"/>
        <v>15222.666666666666</v>
      </c>
      <c r="AA14" s="103">
        <f t="shared" si="19"/>
        <v>12739.102222222224</v>
      </c>
      <c r="AB14" s="103">
        <f t="shared" si="19"/>
        <v>10131.600000000002</v>
      </c>
      <c r="AC14" s="103">
        <f t="shared" si="19"/>
        <v>17334.016666666666</v>
      </c>
      <c r="AD14" s="103">
        <f>+SUM(R14:AC14)</f>
        <v>121624.7913888889</v>
      </c>
    </row>
    <row r="15" spans="1:30" ht="17.25" customHeight="1"/>
    <row r="16" spans="1:30" ht="17.25" customHeight="1">
      <c r="AD16" s="89"/>
    </row>
    <row r="17" spans="2:8" ht="17.25" customHeight="1"/>
    <row r="18" spans="2:8" ht="17.25" customHeight="1"/>
    <row r="19" spans="2:8" ht="27" customHeight="1">
      <c r="B19" s="85" t="s">
        <v>60</v>
      </c>
      <c r="C19" s="86" t="s">
        <v>81</v>
      </c>
      <c r="D19" s="86" t="s">
        <v>82</v>
      </c>
      <c r="E19" s="86" t="s">
        <v>73</v>
      </c>
      <c r="F19" s="86" t="s">
        <v>92</v>
      </c>
    </row>
    <row r="20" spans="2:8" ht="20.100000000000001" customHeight="1">
      <c r="B20" s="82" t="s">
        <v>77</v>
      </c>
      <c r="C20" s="82">
        <f>+O2</f>
        <v>320000</v>
      </c>
      <c r="D20" s="83">
        <f>+C20/$O$14</f>
        <v>0.4903959027422326</v>
      </c>
      <c r="E20" s="84">
        <f>+P2</f>
        <v>12.96</v>
      </c>
      <c r="F20" s="131">
        <f>+E20*D20+E21*D21+E22*D22+E23*D23+E24*D24+E25*D25+E26*D26+E27*D27+E28*D28+E29*D29+E30*D30+E31*D31</f>
        <v>23.146924144948773</v>
      </c>
    </row>
    <row r="21" spans="2:8" ht="20.100000000000001" customHeight="1">
      <c r="B21" s="82" t="s">
        <v>78</v>
      </c>
      <c r="C21" s="82">
        <f>+O3</f>
        <v>55647</v>
      </c>
      <c r="D21" s="83">
        <f t="shared" ref="D21:D22" si="20">+C21/$O$14</f>
        <v>8.5278314999678181E-2</v>
      </c>
      <c r="E21" s="84">
        <f t="shared" ref="E21:E22" si="21">+P3</f>
        <v>27</v>
      </c>
      <c r="F21" s="131"/>
    </row>
    <row r="22" spans="2:8" ht="20.100000000000001" customHeight="1">
      <c r="B22" s="82" t="s">
        <v>79</v>
      </c>
      <c r="C22" s="82">
        <f>+O4</f>
        <v>22018</v>
      </c>
      <c r="D22" s="83">
        <f t="shared" si="20"/>
        <v>3.3742303083057743E-2</v>
      </c>
      <c r="E22" s="84">
        <f t="shared" si="21"/>
        <v>120</v>
      </c>
      <c r="F22" s="131"/>
      <c r="H22" s="109"/>
    </row>
    <row r="23" spans="2:8" ht="20.100000000000001" customHeight="1">
      <c r="B23" s="82" t="s">
        <v>83</v>
      </c>
      <c r="C23" s="82">
        <f t="shared" ref="C23:C31" si="22">+O5</f>
        <v>255</v>
      </c>
      <c r="D23" s="83">
        <f t="shared" ref="D23:D31" si="23">+C23/$O$14</f>
        <v>3.9078423499771658E-4</v>
      </c>
      <c r="E23" s="84">
        <f t="shared" ref="E23:E31" si="24">+P5</f>
        <v>52</v>
      </c>
      <c r="F23" s="131"/>
      <c r="H23" s="109"/>
    </row>
    <row r="24" spans="2:8" ht="20.100000000000001" customHeight="1">
      <c r="B24" s="82" t="s">
        <v>84</v>
      </c>
      <c r="C24" s="82">
        <f>+O6</f>
        <v>3000</v>
      </c>
      <c r="D24" s="83">
        <f t="shared" si="23"/>
        <v>4.5974615882084305E-3</v>
      </c>
      <c r="E24" s="84">
        <f t="shared" si="24"/>
        <v>52</v>
      </c>
      <c r="F24" s="131"/>
      <c r="H24" s="109"/>
    </row>
    <row r="25" spans="2:8" ht="20.100000000000001" customHeight="1">
      <c r="B25" s="82" t="s">
        <v>85</v>
      </c>
      <c r="C25" s="82">
        <f t="shared" si="22"/>
        <v>1020</v>
      </c>
      <c r="D25" s="83">
        <f t="shared" si="23"/>
        <v>1.5631369399908663E-3</v>
      </c>
      <c r="E25" s="84">
        <f t="shared" si="24"/>
        <v>52</v>
      </c>
      <c r="F25" s="131"/>
      <c r="H25" s="109"/>
    </row>
    <row r="26" spans="2:8" ht="20.100000000000001" customHeight="1">
      <c r="B26" s="82" t="s">
        <v>86</v>
      </c>
      <c r="C26" s="82">
        <f t="shared" si="22"/>
        <v>1020</v>
      </c>
      <c r="D26" s="83">
        <f t="shared" si="23"/>
        <v>1.5631369399908663E-3</v>
      </c>
      <c r="E26" s="84">
        <f t="shared" si="24"/>
        <v>52</v>
      </c>
      <c r="F26" s="131"/>
      <c r="H26" s="109"/>
    </row>
    <row r="27" spans="2:8" ht="20.100000000000001" customHeight="1">
      <c r="B27" s="82" t="s">
        <v>87</v>
      </c>
      <c r="C27" s="82">
        <f>+O9</f>
        <v>25126</v>
      </c>
      <c r="D27" s="83">
        <f t="shared" si="23"/>
        <v>3.8505273288441673E-2</v>
      </c>
      <c r="E27" s="84">
        <f t="shared" si="24"/>
        <v>6</v>
      </c>
      <c r="F27" s="131"/>
      <c r="H27" s="109"/>
    </row>
    <row r="28" spans="2:8" ht="20.100000000000001" customHeight="1">
      <c r="B28" s="82" t="s">
        <v>88</v>
      </c>
      <c r="C28" s="82">
        <f t="shared" si="22"/>
        <v>165760</v>
      </c>
      <c r="D28" s="83">
        <f t="shared" si="23"/>
        <v>0.25402507762047649</v>
      </c>
      <c r="E28" s="84">
        <f t="shared" si="24"/>
        <v>6</v>
      </c>
      <c r="F28" s="131"/>
      <c r="H28" s="109"/>
    </row>
    <row r="29" spans="2:8" ht="20.100000000000001" customHeight="1">
      <c r="B29" s="82" t="s">
        <v>89</v>
      </c>
      <c r="C29" s="82">
        <f>+O11</f>
        <v>46555</v>
      </c>
      <c r="D29" s="83">
        <f t="shared" si="23"/>
        <v>7.1344941413014493E-2</v>
      </c>
      <c r="E29" s="84">
        <f t="shared" si="24"/>
        <v>6</v>
      </c>
      <c r="F29" s="131"/>
      <c r="H29" s="109"/>
    </row>
    <row r="30" spans="2:8" ht="20.100000000000001" customHeight="1">
      <c r="B30" s="82" t="s">
        <v>90</v>
      </c>
      <c r="C30" s="82">
        <f>+O12</f>
        <v>5141</v>
      </c>
      <c r="D30" s="83">
        <f t="shared" si="23"/>
        <v>7.8785166749931797E-3</v>
      </c>
      <c r="E30" s="84">
        <f t="shared" si="24"/>
        <v>260</v>
      </c>
      <c r="F30" s="131"/>
      <c r="H30" s="109"/>
    </row>
    <row r="31" spans="2:8" ht="20.100000000000001" customHeight="1">
      <c r="B31" s="82" t="s">
        <v>91</v>
      </c>
      <c r="C31" s="82">
        <f t="shared" si="22"/>
        <v>6992</v>
      </c>
      <c r="D31" s="83">
        <f t="shared" si="23"/>
        <v>1.0715150474917782E-2</v>
      </c>
      <c r="E31" s="84">
        <f t="shared" si="24"/>
        <v>540</v>
      </c>
      <c r="F31" s="131"/>
    </row>
  </sheetData>
  <mergeCells count="3">
    <mergeCell ref="A14:B14"/>
    <mergeCell ref="F20:F31"/>
    <mergeCell ref="A2:A13"/>
  </mergeCells>
  <phoneticPr fontId="1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showGridLines="0" zoomScale="115" zoomScaleNormal="115" workbookViewId="0">
      <selection activeCell="E9" sqref="E9"/>
    </sheetView>
  </sheetViews>
  <sheetFormatPr defaultColWidth="9" defaultRowHeight="14.25" customHeight="1"/>
  <cols>
    <col min="1" max="1" width="3.33203125" style="42" customWidth="1"/>
    <col min="2" max="2" width="6.6640625" style="42" customWidth="1"/>
    <col min="3" max="3" width="32.33203125" style="42" bestFit="1" customWidth="1"/>
    <col min="4" max="4" width="6.44140625" style="42" customWidth="1"/>
    <col min="5" max="5" width="13.109375" style="42" customWidth="1"/>
    <col min="6" max="9" width="9.44140625" style="42" customWidth="1"/>
    <col min="10" max="10" width="17.109375" style="42" customWidth="1"/>
    <col min="11" max="11" width="5.44140625" style="42" customWidth="1"/>
    <col min="12" max="16" width="17.33203125" style="42" customWidth="1"/>
    <col min="17" max="17" width="9" style="42" customWidth="1"/>
    <col min="18" max="18" width="9" style="42"/>
    <col min="19" max="19" width="10.33203125" style="42" customWidth="1"/>
    <col min="20" max="20" width="14.109375" style="42" customWidth="1"/>
    <col min="21" max="21" width="13.6640625" style="42" customWidth="1"/>
    <col min="22" max="22" width="22" style="42" customWidth="1"/>
    <col min="23" max="24" width="25.6640625" style="42" customWidth="1"/>
    <col min="25" max="16384" width="9" style="42"/>
  </cols>
  <sheetData>
    <row r="1" spans="1:24" ht="36" customHeight="1">
      <c r="A1" s="40"/>
      <c r="B1" s="135" t="s">
        <v>0</v>
      </c>
      <c r="C1" s="136"/>
      <c r="D1" s="137"/>
      <c r="E1" s="137"/>
      <c r="F1" s="136"/>
      <c r="G1" s="136"/>
      <c r="H1" s="136"/>
      <c r="I1" s="136"/>
      <c r="J1" s="107"/>
      <c r="K1" s="108"/>
      <c r="L1" s="108"/>
      <c r="M1" s="108"/>
      <c r="N1" s="108"/>
      <c r="O1" s="108"/>
      <c r="P1" s="41"/>
    </row>
    <row r="2" spans="1:24" ht="16.649999999999999" customHeight="1">
      <c r="A2" s="43"/>
      <c r="B2" s="44" t="s">
        <v>24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24" ht="16.649999999999999" customHeight="1">
      <c r="A3" s="43"/>
      <c r="B3" s="72" t="s">
        <v>51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6"/>
    </row>
    <row r="4" spans="1:24" ht="16.649999999999999" customHeight="1">
      <c r="A4" s="43"/>
      <c r="B4" s="45"/>
      <c r="C4" s="45"/>
      <c r="D4" s="45"/>
      <c r="E4" s="45"/>
      <c r="F4" s="45"/>
      <c r="G4" s="45"/>
      <c r="H4" s="45"/>
      <c r="I4" s="45"/>
      <c r="J4" s="45"/>
      <c r="K4" s="45"/>
      <c r="L4" s="47"/>
      <c r="M4" s="47"/>
      <c r="N4" s="47"/>
      <c r="O4" s="47"/>
      <c r="P4" s="48"/>
    </row>
    <row r="5" spans="1:24" ht="16.649999999999999" customHeight="1">
      <c r="A5" s="43"/>
      <c r="B5" s="49" t="s">
        <v>25</v>
      </c>
      <c r="C5" s="47"/>
      <c r="D5" s="47"/>
      <c r="E5" s="50"/>
      <c r="F5" s="50"/>
      <c r="G5" s="50"/>
      <c r="H5" s="50"/>
      <c r="I5" s="50"/>
      <c r="J5" s="50"/>
      <c r="K5" s="51"/>
      <c r="L5" s="138" t="s">
        <v>26</v>
      </c>
      <c r="M5" s="139"/>
      <c r="N5" s="139"/>
      <c r="O5" s="139"/>
      <c r="P5" s="140"/>
    </row>
    <row r="6" spans="1:24" ht="16.649999999999999" customHeight="1">
      <c r="A6" s="52"/>
      <c r="B6" s="53" t="s">
        <v>4</v>
      </c>
      <c r="C6" s="53" t="s">
        <v>27</v>
      </c>
      <c r="D6" s="53" t="s">
        <v>6</v>
      </c>
      <c r="E6" s="53" t="s">
        <v>28</v>
      </c>
      <c r="F6" s="53" t="s">
        <v>29</v>
      </c>
      <c r="G6" s="53" t="s">
        <v>30</v>
      </c>
      <c r="H6" s="53" t="s">
        <v>31</v>
      </c>
      <c r="I6" s="53" t="s">
        <v>32</v>
      </c>
      <c r="J6" s="53" t="s">
        <v>33</v>
      </c>
      <c r="K6" s="54"/>
      <c r="L6" s="53" t="s">
        <v>28</v>
      </c>
      <c r="M6" s="53" t="s">
        <v>29</v>
      </c>
      <c r="N6" s="53" t="s">
        <v>30</v>
      </c>
      <c r="O6" s="53" t="s">
        <v>31</v>
      </c>
      <c r="P6" s="53" t="s">
        <v>32</v>
      </c>
    </row>
    <row r="7" spans="1:24" ht="56.25" customHeight="1">
      <c r="A7" s="52"/>
      <c r="B7" s="55">
        <v>1</v>
      </c>
      <c r="C7" s="56" t="s">
        <v>34</v>
      </c>
      <c r="D7" s="57" t="s">
        <v>49</v>
      </c>
      <c r="E7" s="110">
        <f>125.79/6</f>
        <v>20.965</v>
      </c>
      <c r="F7" s="110">
        <f>125.69/6</f>
        <v>20.948333333333334</v>
      </c>
      <c r="G7" s="110">
        <f>125.86/6</f>
        <v>20.976666666666667</v>
      </c>
      <c r="H7" s="110">
        <f>125.53/6</f>
        <v>20.921666666666667</v>
      </c>
      <c r="I7" s="110">
        <f>125.64/6</f>
        <v>20.94</v>
      </c>
      <c r="J7" s="110">
        <f t="shared" ref="J7:J13" si="0">AVERAGE(E7:I7)</f>
        <v>20.950333333333333</v>
      </c>
      <c r="K7" s="54"/>
      <c r="L7" s="58"/>
      <c r="M7" s="58"/>
      <c r="N7" s="58"/>
      <c r="O7" s="58"/>
      <c r="P7" s="58"/>
    </row>
    <row r="8" spans="1:24" ht="66.75" customHeight="1">
      <c r="A8" s="52"/>
      <c r="B8" s="55">
        <v>2</v>
      </c>
      <c r="C8" s="59" t="s">
        <v>37</v>
      </c>
      <c r="D8" s="57" t="s">
        <v>49</v>
      </c>
      <c r="E8" s="110">
        <v>3.24</v>
      </c>
      <c r="F8" s="110">
        <v>3.23</v>
      </c>
      <c r="G8" s="110">
        <v>3.22</v>
      </c>
      <c r="H8" s="110">
        <v>3.23</v>
      </c>
      <c r="I8" s="110">
        <v>3.23</v>
      </c>
      <c r="J8" s="110">
        <f t="shared" si="0"/>
        <v>3.2300000000000004</v>
      </c>
      <c r="K8" s="54"/>
      <c r="L8" s="58"/>
      <c r="M8" s="58"/>
      <c r="N8" s="58"/>
      <c r="O8" s="58"/>
      <c r="P8" s="58"/>
      <c r="S8" s="141" t="s">
        <v>40</v>
      </c>
      <c r="T8" s="142"/>
      <c r="U8" s="142"/>
      <c r="V8" s="142"/>
      <c r="W8" s="142"/>
      <c r="X8" s="143"/>
    </row>
    <row r="9" spans="1:24" ht="48.75" customHeight="1">
      <c r="A9" s="52"/>
      <c r="B9" s="55">
        <v>3</v>
      </c>
      <c r="C9" s="56" t="s">
        <v>36</v>
      </c>
      <c r="D9" s="57" t="s">
        <v>49</v>
      </c>
      <c r="E9" s="110">
        <f>X10</f>
        <v>0.60333333333332939</v>
      </c>
      <c r="F9" s="110">
        <f>X11</f>
        <v>0.59666666666666879</v>
      </c>
      <c r="G9" s="110">
        <f>X12</f>
        <v>0.58999999999999864</v>
      </c>
      <c r="H9" s="110">
        <f>X13</f>
        <v>0.59666666666666401</v>
      </c>
      <c r="I9" s="110">
        <f>X14</f>
        <v>0.62333333333333485</v>
      </c>
      <c r="J9" s="110">
        <f>AVERAGE(E9:I9)</f>
        <v>0.6019999999999992</v>
      </c>
      <c r="K9" s="54"/>
      <c r="L9" s="58"/>
      <c r="M9" s="58"/>
      <c r="N9" s="58"/>
      <c r="O9" s="58"/>
      <c r="P9" s="58"/>
      <c r="S9" s="60" t="s">
        <v>41</v>
      </c>
      <c r="T9" s="60" t="s">
        <v>42</v>
      </c>
      <c r="U9" s="60" t="s">
        <v>43</v>
      </c>
      <c r="V9" s="60" t="s">
        <v>44</v>
      </c>
      <c r="W9" s="60" t="s">
        <v>45</v>
      </c>
      <c r="X9" s="60" t="s">
        <v>46</v>
      </c>
    </row>
    <row r="10" spans="1:24" ht="72.75" customHeight="1">
      <c r="A10" s="52"/>
      <c r="B10" s="55">
        <v>4</v>
      </c>
      <c r="C10" s="56" t="s">
        <v>38</v>
      </c>
      <c r="D10" s="57" t="s">
        <v>49</v>
      </c>
      <c r="E10" s="110">
        <v>14.38</v>
      </c>
      <c r="F10" s="110">
        <v>14.36</v>
      </c>
      <c r="G10" s="110">
        <v>14.46</v>
      </c>
      <c r="H10" s="110">
        <v>14.48</v>
      </c>
      <c r="I10" s="110">
        <v>14.44</v>
      </c>
      <c r="J10" s="110">
        <f t="shared" si="0"/>
        <v>14.424000000000001</v>
      </c>
      <c r="K10" s="54"/>
      <c r="L10" s="58"/>
      <c r="M10" s="58"/>
      <c r="N10" s="58"/>
      <c r="O10" s="58"/>
      <c r="P10" s="58"/>
      <c r="S10" s="60">
        <v>1</v>
      </c>
      <c r="T10" s="60">
        <v>125.79</v>
      </c>
      <c r="U10" s="62">
        <v>127.6</v>
      </c>
      <c r="V10" s="61">
        <f>U10-T10</f>
        <v>1.8099999999999881</v>
      </c>
      <c r="W10" s="62">
        <f>V10/6</f>
        <v>0.3016666666666647</v>
      </c>
      <c r="X10" s="62">
        <f>W10*2</f>
        <v>0.60333333333332939</v>
      </c>
    </row>
    <row r="11" spans="1:24" ht="68.400000000000006" customHeight="1">
      <c r="A11" s="52"/>
      <c r="B11" s="55">
        <v>5</v>
      </c>
      <c r="C11" s="56" t="s">
        <v>50</v>
      </c>
      <c r="D11" s="57" t="s">
        <v>49</v>
      </c>
      <c r="E11" s="110">
        <v>47.19</v>
      </c>
      <c r="F11" s="110">
        <v>47.04</v>
      </c>
      <c r="G11" s="110">
        <v>46.96</v>
      </c>
      <c r="H11" s="110">
        <v>47.21</v>
      </c>
      <c r="I11" s="110">
        <v>47.02</v>
      </c>
      <c r="J11" s="110">
        <f t="shared" si="0"/>
        <v>47.084000000000003</v>
      </c>
      <c r="K11" s="54"/>
      <c r="L11" s="58"/>
      <c r="M11" s="58"/>
      <c r="N11" s="58"/>
      <c r="O11" s="58"/>
      <c r="P11" s="58"/>
      <c r="S11" s="60">
        <v>2</v>
      </c>
      <c r="T11" s="60">
        <v>125.69</v>
      </c>
      <c r="U11" s="60">
        <v>127.48</v>
      </c>
      <c r="V11" s="61">
        <f t="shared" ref="V11:V14" si="1">U11-T11</f>
        <v>1.7900000000000063</v>
      </c>
      <c r="W11" s="62">
        <f t="shared" ref="W11:W14" si="2">V11/6</f>
        <v>0.29833333333333439</v>
      </c>
      <c r="X11" s="62">
        <f>W11*2</f>
        <v>0.59666666666666879</v>
      </c>
    </row>
    <row r="12" spans="1:24" ht="40.200000000000003" customHeight="1">
      <c r="A12" s="52"/>
      <c r="B12" s="55">
        <v>6</v>
      </c>
      <c r="C12" s="56"/>
      <c r="D12" s="57" t="s">
        <v>49</v>
      </c>
      <c r="E12" s="111"/>
      <c r="F12" s="111"/>
      <c r="G12" s="111"/>
      <c r="H12" s="111"/>
      <c r="I12" s="111"/>
      <c r="J12" s="111" t="e">
        <f t="shared" si="0"/>
        <v>#DIV/0!</v>
      </c>
      <c r="K12" s="54"/>
      <c r="L12" s="58"/>
      <c r="M12" s="58"/>
      <c r="N12" s="58"/>
      <c r="O12" s="58"/>
      <c r="P12" s="58"/>
      <c r="S12" s="60">
        <v>3</v>
      </c>
      <c r="T12" s="60">
        <v>125.86</v>
      </c>
      <c r="U12" s="60">
        <v>127.63</v>
      </c>
      <c r="V12" s="61">
        <f t="shared" si="1"/>
        <v>1.769999999999996</v>
      </c>
      <c r="W12" s="62">
        <f>V12/6</f>
        <v>0.29499999999999932</v>
      </c>
      <c r="X12" s="62">
        <f t="shared" ref="X12:X14" si="3">W12*2</f>
        <v>0.58999999999999864</v>
      </c>
    </row>
    <row r="13" spans="1:24" ht="40.200000000000003" customHeight="1">
      <c r="A13" s="52"/>
      <c r="B13" s="55">
        <v>7</v>
      </c>
      <c r="D13" s="57" t="s">
        <v>35</v>
      </c>
      <c r="E13" s="111"/>
      <c r="F13" s="111"/>
      <c r="G13" s="111"/>
      <c r="H13" s="111"/>
      <c r="I13" s="111"/>
      <c r="J13" s="111" t="e">
        <f t="shared" si="0"/>
        <v>#DIV/0!</v>
      </c>
      <c r="K13" s="54"/>
      <c r="L13" s="112"/>
      <c r="M13" s="112"/>
      <c r="N13" s="58"/>
      <c r="O13" s="58"/>
      <c r="P13" s="58"/>
      <c r="S13" s="60">
        <v>4</v>
      </c>
      <c r="T13" s="61">
        <v>125.53</v>
      </c>
      <c r="U13" s="63">
        <v>127.32</v>
      </c>
      <c r="V13" s="61">
        <f t="shared" si="1"/>
        <v>1.789999999999992</v>
      </c>
      <c r="W13" s="62">
        <f t="shared" si="2"/>
        <v>0.29833333333333201</v>
      </c>
      <c r="X13" s="62">
        <f t="shared" si="3"/>
        <v>0.59666666666666401</v>
      </c>
    </row>
    <row r="14" spans="1:24" ht="16.649999999999999" customHeight="1">
      <c r="A14" s="43"/>
      <c r="B14" s="64"/>
      <c r="C14" s="64"/>
      <c r="D14" s="64"/>
      <c r="E14" s="64"/>
      <c r="F14" s="64"/>
      <c r="G14" s="64"/>
      <c r="H14" s="64"/>
      <c r="I14" s="64"/>
      <c r="J14" s="64"/>
      <c r="K14" s="45"/>
      <c r="L14" s="64"/>
      <c r="M14" s="113"/>
      <c r="N14" s="64"/>
      <c r="O14" s="64"/>
      <c r="P14" s="65"/>
      <c r="S14" s="60">
        <v>5</v>
      </c>
      <c r="T14" s="61">
        <v>125.64</v>
      </c>
      <c r="U14" s="63">
        <v>127.51</v>
      </c>
      <c r="V14" s="61">
        <f t="shared" si="1"/>
        <v>1.8700000000000045</v>
      </c>
      <c r="W14" s="62">
        <f t="shared" si="2"/>
        <v>0.31166666666666742</v>
      </c>
      <c r="X14" s="62">
        <f t="shared" si="3"/>
        <v>0.62333333333333485</v>
      </c>
    </row>
    <row r="15" spans="1:24" ht="14.25" customHeight="1">
      <c r="A15" s="66"/>
      <c r="B15" s="45"/>
      <c r="C15" s="44"/>
      <c r="D15" s="45"/>
      <c r="E15" s="114"/>
      <c r="F15" s="45"/>
      <c r="G15" s="45"/>
      <c r="H15" s="45"/>
      <c r="I15" s="45"/>
      <c r="J15" s="45"/>
      <c r="K15" s="45"/>
      <c r="M15" s="115"/>
      <c r="N15" s="45"/>
      <c r="O15" s="115"/>
      <c r="P15" s="46"/>
    </row>
    <row r="16" spans="1:24" ht="14.25" customHeight="1">
      <c r="A16" s="67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116"/>
      <c r="M16" s="116"/>
      <c r="N16" s="116"/>
      <c r="O16" s="116"/>
      <c r="P16" s="116"/>
    </row>
    <row r="17" spans="12:16" ht="14.25" customHeight="1">
      <c r="L17" s="117"/>
      <c r="M17" s="117"/>
      <c r="N17" s="117"/>
      <c r="O17" s="117"/>
      <c r="P17" s="117"/>
    </row>
    <row r="18" spans="12:16" ht="14.25" customHeight="1">
      <c r="L18" s="118"/>
      <c r="M18" s="118"/>
      <c r="N18" s="118"/>
      <c r="O18" s="118"/>
      <c r="P18" s="118"/>
    </row>
    <row r="19" spans="12:16" ht="14.25" customHeight="1">
      <c r="P19" s="45"/>
    </row>
  </sheetData>
  <mergeCells count="3">
    <mergeCell ref="B1:I1"/>
    <mergeCell ref="L5:P5"/>
    <mergeCell ref="S8:X8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Manufaturing data</vt:lpstr>
      <vt:lpstr>工作表1</vt:lpstr>
      <vt:lpstr>SMT data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2023-03-02T03:16:22Z</dcterms:created>
  <dcterms:modified xsi:type="dcterms:W3CDTF">2024-03-06T10:34:23Z</dcterms:modified>
</cp:coreProperties>
</file>